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
    </mc:Choice>
  </mc:AlternateContent>
  <xr:revisionPtr revIDLastSave="0" documentId="13_ncr:1_{C5D37F52-F3EE-4452-AB8A-020230F5377B}" xr6:coauthVersionLast="47" xr6:coauthVersionMax="47" xr10:uidLastSave="{00000000-0000-0000-0000-000000000000}"/>
  <bookViews>
    <workbookView xWindow="-120" yWindow="-120" windowWidth="29040" windowHeight="1599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Propu!$A$317:$A$324</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P14" i="6"/>
  <c r="E11" i="7" s="1"/>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O21" i="6"/>
  <c r="B54" i="8"/>
  <c r="C54" i="8" s="1"/>
  <c r="D26" i="7"/>
  <c r="B53" i="8"/>
  <c r="C53" i="8" s="1"/>
  <c r="B60" i="8"/>
  <c r="C60" i="8" s="1"/>
  <c r="B66" i="8"/>
  <c r="C66" i="8" s="1"/>
  <c r="B52" i="8"/>
  <c r="C52" i="8" s="1"/>
  <c r="B57" i="8"/>
  <c r="C57" i="8" s="1"/>
  <c r="T14" i="6"/>
  <c r="C173" i="6"/>
  <c r="C172" i="6"/>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Q3" i="4"/>
  <c r="T3" i="4"/>
  <c r="Y4"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B4" i="4"/>
  <c r="T4" i="4"/>
  <c r="P3" i="4"/>
  <c r="B3" i="4"/>
  <c r="I4" i="4"/>
  <c r="C4" i="4"/>
  <c r="H3" i="4"/>
  <c r="W3" i="4"/>
  <c r="H4" i="4"/>
  <c r="D4" i="4"/>
  <c r="E4" i="4"/>
  <c r="F3" i="4"/>
  <c r="Q4" i="4"/>
  <c r="R2" i="4"/>
  <c r="X2" i="4"/>
  <c r="U4" i="4"/>
  <c r="P4" i="4"/>
  <c r="V4" i="4"/>
  <c r="G3" i="4"/>
  <c r="S4" i="4"/>
  <c r="N3" i="4"/>
  <c r="M4" i="4"/>
  <c r="N2" i="4"/>
  <c r="R3" i="4"/>
  <c r="G4" i="4"/>
  <c r="Y3" i="4"/>
  <c r="C3" i="4"/>
  <c r="E3" i="4"/>
  <c r="J4" i="4"/>
  <c r="V3" i="4"/>
  <c r="O3" i="4"/>
  <c r="J3" i="4"/>
  <c r="T2" i="4"/>
  <c r="O4" i="4"/>
  <c r="R4" i="4"/>
  <c r="S3" i="4"/>
  <c r="D3" i="4"/>
  <c r="X3" i="4"/>
  <c r="V2" i="4"/>
  <c r="H2" i="4"/>
  <c r="L2" i="4"/>
  <c r="L4" i="4"/>
  <c r="P2" i="4"/>
  <c r="M3" i="4"/>
  <c r="W4" i="4"/>
  <c r="U3" i="4"/>
  <c r="I3" i="4"/>
  <c r="N4" i="4"/>
  <c r="K4" i="4"/>
  <c r="X4" i="4"/>
  <c r="K3" i="4"/>
  <c r="Z2" i="4"/>
  <c r="L3" i="4"/>
  <c r="J2" i="4"/>
  <c r="F4" i="4"/>
  <c r="D166" i="6" l="1"/>
  <c r="E166" i="6" s="1"/>
  <c r="D167" i="6"/>
  <c r="E167" i="6" s="1"/>
  <c r="D163" i="6"/>
  <c r="E163" i="6" s="1"/>
  <c r="E28" i="6"/>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C11" i="1" l="1"/>
  <c r="S4" i="3" s="1"/>
  <c r="T4" i="3" s="1"/>
  <c r="U4" i="3" s="1"/>
  <c r="P15" i="6"/>
  <c r="M15" i="6" s="1"/>
  <c r="J42" i="7" s="1"/>
  <c r="E35" i="6"/>
  <c r="O22" i="6" s="1"/>
  <c r="O19" i="6" s="1"/>
  <c r="H28" i="6" s="1"/>
  <c r="C190" i="6" s="1"/>
  <c r="M22" i="6"/>
  <c r="C164" i="6"/>
  <c r="C165" i="6"/>
  <c r="AC5" i="3"/>
  <c r="P5" i="3"/>
  <c r="Q5" i="3" s="1"/>
  <c r="A6" i="3"/>
  <c r="B6" i="3" s="1"/>
  <c r="AC6" i="3"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C153" i="6"/>
  <c r="N15" i="6" l="1"/>
  <c r="I42" i="7" s="1"/>
  <c r="H42" i="7"/>
  <c r="E108" i="7"/>
  <c r="D23" i="7"/>
  <c r="M19" i="6"/>
  <c r="H31" i="6" s="1"/>
  <c r="H29" i="6" s="1"/>
  <c r="H47" i="7" s="1"/>
  <c r="AA6" i="3"/>
  <c r="H48" i="8"/>
  <c r="P29" i="1"/>
  <c r="A7" i="3"/>
  <c r="B7" i="3" s="1"/>
  <c r="P7" i="3" s="1"/>
  <c r="Q7" i="3" s="1"/>
  <c r="AD6" i="3"/>
  <c r="P6" i="3"/>
  <c r="Q6" i="3" s="1"/>
  <c r="H71" i="7"/>
  <c r="Z6" i="3"/>
  <c r="H68" i="7"/>
  <c r="H16" i="7"/>
  <c r="P28" i="1"/>
  <c r="H50" i="8"/>
  <c r="C149" i="6"/>
  <c r="H46" i="8"/>
  <c r="H46" i="7"/>
  <c r="D152" i="6"/>
  <c r="H13" i="7"/>
  <c r="H58" i="8"/>
  <c r="R194" i="4"/>
  <c r="P196" i="4"/>
  <c r="F108" i="7"/>
  <c r="D213" i="4"/>
  <c r="F213" i="4" s="1"/>
  <c r="B191" i="6"/>
  <c r="C194" i="6"/>
  <c r="H61" i="8"/>
  <c r="D223" i="4"/>
  <c r="F223" i="4" s="1"/>
  <c r="X111" i="4"/>
  <c r="W111" i="4"/>
  <c r="D108" i="4" s="1"/>
  <c r="D188" i="4"/>
  <c r="F188" i="4" s="1"/>
  <c r="D130" i="6"/>
  <c r="E130" i="6" s="1"/>
  <c r="E129" i="6"/>
  <c r="S28" i="6"/>
  <c r="C193" i="6"/>
  <c r="X236" i="4"/>
  <c r="W236" i="4"/>
  <c r="W201" i="4"/>
  <c r="X201" i="4"/>
  <c r="D198" i="4" s="1"/>
  <c r="D2" i="4"/>
  <c r="C155" i="6" l="1"/>
  <c r="I29" i="6"/>
  <c r="I47" i="7" s="1"/>
  <c r="C150" i="6"/>
  <c r="B192" i="6"/>
  <c r="B193" i="6"/>
  <c r="H32" i="6"/>
  <c r="I32" i="6"/>
  <c r="C157" i="6"/>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H14" i="7"/>
  <c r="B194" i="6"/>
  <c r="H30" i="6"/>
  <c r="H48" i="7" s="1"/>
  <c r="B190" i="6"/>
  <c r="S194" i="4"/>
  <c r="Q196" i="4"/>
  <c r="F108" i="4"/>
  <c r="D233" i="4"/>
  <c r="F233" i="4" s="1"/>
  <c r="F2" i="4"/>
  <c r="S29" i="6" l="1"/>
  <c r="I30" i="6"/>
  <c r="I48" i="7" s="1"/>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H15" i="7"/>
  <c r="R196" i="4"/>
  <c r="T194" i="4"/>
  <c r="S30" i="6" l="1"/>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M7" i="3" s="1"/>
  <c r="N7" i="3" s="1"/>
  <c r="S14" i="3"/>
  <c r="T13" i="3"/>
  <c r="AA18" i="3"/>
  <c r="P18" i="3"/>
  <c r="Q18" i="3" s="1"/>
  <c r="R18" i="3" s="1"/>
  <c r="AC18" i="3"/>
  <c r="A19" i="3"/>
  <c r="B19" i="3" s="1"/>
  <c r="AD18" i="3"/>
  <c r="Z18" i="3"/>
  <c r="J7" i="3" l="1"/>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AD184" i="3" l="1"/>
  <c r="Z184" i="3"/>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AD465" i="3"/>
  <c r="T465" i="3" l="1"/>
  <c r="AH465" i="3" s="1"/>
  <c r="U464" i="3"/>
  <c r="Y463" i="3"/>
  <c r="D465" i="3" l="1"/>
  <c r="G465" i="3" s="1"/>
  <c r="E465" i="3"/>
  <c r="H465" i="3" s="1"/>
  <c r="AG465" i="3"/>
  <c r="F465" i="3" l="1"/>
  <c r="I465" i="3"/>
  <c r="J465" i="3"/>
  <c r="M465" i="3"/>
  <c r="N465" i="3" s="1"/>
  <c r="K465" i="3"/>
  <c r="AE465" i="3" s="1"/>
  <c r="V465" i="3" l="1"/>
  <c r="W465" i="3" s="1"/>
  <c r="A466" i="3"/>
  <c r="B466" i="3" s="1"/>
  <c r="L465" i="3"/>
  <c r="U465" i="3" l="1"/>
  <c r="Y464" i="3"/>
  <c r="AA466" i="3"/>
  <c r="AD466" i="3"/>
  <c r="AC466" i="3"/>
  <c r="Z466" i="3"/>
  <c r="P466" i="3"/>
  <c r="Q466" i="3" s="1"/>
  <c r="R466" i="3" s="1"/>
  <c r="S466" i="3" s="1"/>
  <c r="T466" i="3" l="1"/>
  <c r="AH466" i="3" s="1"/>
  <c r="AG466" i="3" l="1"/>
  <c r="E466" i="3"/>
  <c r="H466" i="3" s="1"/>
  <c r="K466" i="3" s="1"/>
  <c r="AE466" i="3" s="1"/>
  <c r="D466" i="3"/>
  <c r="G466" i="3" s="1"/>
  <c r="F466" i="3" l="1"/>
  <c r="I466" i="3"/>
  <c r="J466" i="3"/>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D469" i="3"/>
  <c r="AA469" i="3"/>
  <c r="P469" i="3"/>
  <c r="Q469" i="3" s="1"/>
  <c r="R469" i="3" s="1"/>
  <c r="S469" i="3" s="1"/>
  <c r="Z469" i="3"/>
  <c r="AC469" i="3"/>
  <c r="U468" i="3" l="1"/>
  <c r="Y467" i="3"/>
  <c r="T469" i="3"/>
  <c r="AG469" i="3" s="1"/>
  <c r="D469" i="3" l="1"/>
  <c r="G469" i="3" s="1"/>
  <c r="AH469" i="3"/>
  <c r="E469" i="3"/>
  <c r="H469" i="3" s="1"/>
  <c r="K469" i="3" s="1"/>
  <c r="AE469" i="3" s="1"/>
  <c r="F469" i="3" l="1"/>
  <c r="I469" i="3"/>
  <c r="J469" i="3"/>
  <c r="M469" i="3"/>
  <c r="N469" i="3" s="1"/>
  <c r="V469" i="3"/>
  <c r="A470" i="3"/>
  <c r="B470" i="3" s="1"/>
  <c r="W469" i="3" l="1"/>
  <c r="L469" i="3"/>
  <c r="AC470" i="3"/>
  <c r="P470" i="3"/>
  <c r="Q470" i="3" s="1"/>
  <c r="R470" i="3" s="1"/>
  <c r="S470" i="3" s="1"/>
  <c r="AA470" i="3"/>
  <c r="Z470" i="3"/>
  <c r="AD470" i="3"/>
  <c r="U469" i="3" l="1"/>
  <c r="Y468" i="3"/>
  <c r="T470" i="3"/>
  <c r="D470" i="3" l="1"/>
  <c r="G470" i="3" s="1"/>
  <c r="AH470" i="3"/>
  <c r="AG470" i="3"/>
  <c r="E470" i="3"/>
  <c r="H470" i="3" s="1"/>
  <c r="K470" i="3" l="1"/>
  <c r="AE470" i="3" s="1"/>
  <c r="F470" i="3"/>
  <c r="I470" i="3"/>
  <c r="J470" i="3"/>
  <c r="M470" i="3"/>
  <c r="N470" i="3" s="1"/>
  <c r="V470" i="3" l="1"/>
  <c r="W470" i="3" s="1"/>
  <c r="A471" i="3"/>
  <c r="B471" i="3" s="1"/>
  <c r="L470" i="3"/>
  <c r="U470" i="3" l="1"/>
  <c r="Y469" i="3"/>
  <c r="Z471" i="3"/>
  <c r="AA471" i="3"/>
  <c r="AD471" i="3"/>
  <c r="AC471" i="3"/>
  <c r="P471" i="3"/>
  <c r="Q471" i="3" s="1"/>
  <c r="R471" i="3" s="1"/>
  <c r="S471" i="3" s="1"/>
  <c r="T471" i="3" l="1"/>
  <c r="AH471" i="3" s="1"/>
  <c r="AG471" i="3" l="1"/>
  <c r="E471" i="3"/>
  <c r="H471" i="3" s="1"/>
  <c r="D471" i="3"/>
  <c r="F471" i="3" l="1"/>
  <c r="G471" i="3"/>
  <c r="K471" i="3"/>
  <c r="AE471" i="3" s="1"/>
  <c r="V471" i="3" l="1"/>
  <c r="A472" i="3"/>
  <c r="B472" i="3" s="1"/>
  <c r="I471" i="3"/>
  <c r="J471" i="3"/>
  <c r="M471" i="3"/>
  <c r="N471" i="3" s="1"/>
  <c r="W471" i="3" l="1"/>
  <c r="L471" i="3"/>
  <c r="Z472" i="3"/>
  <c r="AA472" i="3"/>
  <c r="P472" i="3"/>
  <c r="Q472" i="3" s="1"/>
  <c r="R472" i="3" s="1"/>
  <c r="S472" i="3" s="1"/>
  <c r="AD472" i="3"/>
  <c r="AC472" i="3"/>
  <c r="U471" i="3" l="1"/>
  <c r="Y470" i="3"/>
  <c r="T472" i="3"/>
  <c r="E472" i="3" l="1"/>
  <c r="H472" i="3" s="1"/>
  <c r="K472" i="3" s="1"/>
  <c r="AE472" i="3" s="1"/>
  <c r="AG472" i="3"/>
  <c r="AH472" i="3"/>
  <c r="D472" i="3"/>
  <c r="V472" i="3" l="1"/>
  <c r="A473" i="3"/>
  <c r="B473" i="3" s="1"/>
  <c r="F472" i="3"/>
  <c r="G472" i="3"/>
  <c r="I472" i="3" l="1"/>
  <c r="W472" i="3" s="1"/>
  <c r="J472" i="3"/>
  <c r="M472" i="3"/>
  <c r="N472" i="3" s="1"/>
  <c r="AC473" i="3"/>
  <c r="P473" i="3"/>
  <c r="Q473" i="3" s="1"/>
  <c r="R473" i="3" s="1"/>
  <c r="S473" i="3" s="1"/>
  <c r="AD473" i="3"/>
  <c r="Z473" i="3"/>
  <c r="AA473" i="3"/>
  <c r="L472" i="3" l="1"/>
  <c r="T473" i="3"/>
  <c r="U472" i="3" l="1"/>
  <c r="D473" i="3" s="1"/>
  <c r="AH473" i="3"/>
  <c r="AG473" i="3"/>
  <c r="Y471" i="3"/>
  <c r="G473" i="3" l="1"/>
  <c r="E473" i="3"/>
  <c r="H473" i="3" s="1"/>
  <c r="F473" i="3" l="1"/>
  <c r="I473" i="3"/>
  <c r="J473" i="3"/>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D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M495" i="3"/>
  <c r="N495" i="3" s="1"/>
  <c r="W495" i="3" l="1"/>
  <c r="L495" i="3"/>
  <c r="AD496"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D499" i="3"/>
  <c r="AA499" i="3"/>
  <c r="Z499" i="3"/>
  <c r="T499" i="3" l="1"/>
  <c r="U498" i="3"/>
  <c r="Y497" i="3"/>
  <c r="D499" i="3" l="1"/>
  <c r="G499" i="3" s="1"/>
  <c r="AH499" i="3"/>
  <c r="E499" i="3"/>
  <c r="H499" i="3" s="1"/>
  <c r="AG499" i="3"/>
  <c r="F499" i="3" l="1"/>
  <c r="I499" i="3"/>
  <c r="J499" i="3"/>
  <c r="M499" i="3"/>
  <c r="N499" i="3" s="1"/>
  <c r="K499" i="3"/>
  <c r="AE499" i="3" s="1"/>
  <c r="V499" i="3" l="1"/>
  <c r="W499" i="3" s="1"/>
  <c r="A500" i="3"/>
  <c r="B500" i="3" s="1"/>
  <c r="L499" i="3"/>
  <c r="U499" i="3" l="1"/>
  <c r="Y498" i="3"/>
  <c r="AD500" i="3"/>
  <c r="AA500" i="3"/>
  <c r="AC500" i="3"/>
  <c r="P500" i="3"/>
  <c r="Q500" i="3" s="1"/>
  <c r="R500" i="3" s="1"/>
  <c r="S500" i="3" s="1"/>
  <c r="Z500" i="3"/>
  <c r="T500" i="3" l="1"/>
  <c r="AH500" i="3" s="1"/>
  <c r="D500" i="3" l="1"/>
  <c r="AG500" i="3"/>
  <c r="E500" i="3"/>
  <c r="H500" i="3" s="1"/>
  <c r="F500" i="3" l="1"/>
  <c r="G500" i="3"/>
  <c r="K500" i="3"/>
  <c r="AE500" i="3" s="1"/>
  <c r="I500" i="3" l="1"/>
  <c r="J500" i="3"/>
  <c r="M500" i="3"/>
  <c r="N500" i="3" s="1"/>
  <c r="V500" i="3"/>
  <c r="A501" i="3"/>
  <c r="B501" i="3" s="1"/>
  <c r="W500" i="3" l="1"/>
  <c r="L500" i="3"/>
  <c r="P501" i="3"/>
  <c r="Q501" i="3" s="1"/>
  <c r="R501" i="3" s="1"/>
  <c r="S501" i="3" s="1"/>
  <c r="AC501" i="3"/>
  <c r="AD501" i="3"/>
  <c r="Z501" i="3"/>
  <c r="AA501" i="3"/>
  <c r="U500" i="3" l="1"/>
  <c r="Y499" i="3"/>
  <c r="T501" i="3"/>
  <c r="D501" i="3" l="1"/>
  <c r="G501" i="3" s="1"/>
  <c r="E501" i="3"/>
  <c r="H501" i="3" s="1"/>
  <c r="K501" i="3" s="1"/>
  <c r="AE501" i="3" s="1"/>
  <c r="AG501" i="3"/>
  <c r="AH501" i="3"/>
  <c r="F501" i="3" l="1"/>
  <c r="I501" i="3"/>
  <c r="J501" i="3"/>
  <c r="M501" i="3"/>
  <c r="N501" i="3" s="1"/>
  <c r="V501" i="3"/>
  <c r="A502" i="3"/>
  <c r="B502" i="3" s="1"/>
  <c r="L501" i="3" l="1"/>
  <c r="W501" i="3"/>
  <c r="Z502" i="3"/>
  <c r="AA502" i="3"/>
  <c r="AC502" i="3"/>
  <c r="AD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M502" i="3"/>
  <c r="N502" i="3" s="1"/>
  <c r="AA503" i="3"/>
  <c r="P503" i="3"/>
  <c r="Q503" i="3" s="1"/>
  <c r="R503" i="3" s="1"/>
  <c r="S503" i="3" s="1"/>
  <c r="AD503" i="3"/>
  <c r="AC503" i="3"/>
  <c r="Z503" i="3"/>
  <c r="T503" i="3" l="1"/>
  <c r="L502" i="3"/>
  <c r="AG503" i="3" l="1"/>
  <c r="AH503" i="3"/>
  <c r="U502" i="3"/>
  <c r="E503" i="3" s="1"/>
  <c r="H503" i="3" s="1"/>
  <c r="Y501" i="3"/>
  <c r="D503" i="3" l="1"/>
  <c r="G503" i="3" s="1"/>
  <c r="K503" i="3"/>
  <c r="AE503" i="3" s="1"/>
  <c r="F503" i="3" l="1"/>
  <c r="V503" i="3"/>
  <c r="A504" i="3"/>
  <c r="B504" i="3" s="1"/>
  <c r="I503" i="3"/>
  <c r="J503" i="3"/>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AD515" i="3"/>
  <c r="P515" i="3"/>
  <c r="Q515" i="3" s="1"/>
  <c r="R515" i="3" s="1"/>
  <c r="S515" i="3" s="1"/>
  <c r="AC515" i="3"/>
  <c r="Z515" i="3"/>
  <c r="AA515" i="3"/>
  <c r="U514" i="3" l="1"/>
  <c r="Y513" i="3"/>
  <c r="T515" i="3"/>
  <c r="D515" i="3" l="1"/>
  <c r="G515" i="3" s="1"/>
  <c r="AG515" i="3"/>
  <c r="AH515" i="3"/>
  <c r="E515" i="3"/>
  <c r="H515" i="3" s="1"/>
  <c r="K515" i="3" l="1"/>
  <c r="AE515" i="3" s="1"/>
  <c r="I515" i="3"/>
  <c r="J515" i="3"/>
  <c r="M515" i="3"/>
  <c r="N515" i="3" s="1"/>
  <c r="F515" i="3"/>
  <c r="L515" i="3" l="1"/>
  <c r="V515" i="3"/>
  <c r="W515" i="3" s="1"/>
  <c r="A516" i="3"/>
  <c r="B516" i="3" s="1"/>
  <c r="U515" i="3" l="1"/>
  <c r="Y514" i="3"/>
  <c r="AA516" i="3"/>
  <c r="Z516" i="3"/>
  <c r="AC516" i="3"/>
  <c r="P516" i="3"/>
  <c r="Q516" i="3" s="1"/>
  <c r="R516" i="3" s="1"/>
  <c r="S516" i="3" s="1"/>
  <c r="AD516" i="3"/>
  <c r="T516" i="3" l="1"/>
  <c r="AG516" i="3" s="1"/>
  <c r="D516" i="3" l="1"/>
  <c r="AH516" i="3"/>
  <c r="E516" i="3"/>
  <c r="H516" i="3" s="1"/>
  <c r="F516" i="3" l="1"/>
  <c r="G516" i="3"/>
  <c r="K516" i="3"/>
  <c r="AE516" i="3" s="1"/>
  <c r="I516" i="3" l="1"/>
  <c r="J516" i="3"/>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D519" i="3"/>
  <c r="AA519" i="3"/>
  <c r="Z519" i="3"/>
  <c r="AC519" i="3"/>
  <c r="P519" i="3"/>
  <c r="Q519" i="3" s="1"/>
  <c r="R519" i="3" s="1"/>
  <c r="S519" i="3" s="1"/>
  <c r="T519" i="3" l="1"/>
  <c r="D519" i="3" s="1"/>
  <c r="AG519" i="3" l="1"/>
  <c r="G519" i="3"/>
  <c r="AH519" i="3"/>
  <c r="E519" i="3"/>
  <c r="H519" i="3" s="1"/>
  <c r="F519" i="3" l="1"/>
  <c r="I519" i="3"/>
  <c r="J519" i="3"/>
  <c r="M519" i="3"/>
  <c r="N519" i="3" s="1"/>
  <c r="K519" i="3"/>
  <c r="AE519" i="3" s="1"/>
  <c r="V519" i="3" l="1"/>
  <c r="W519" i="3" s="1"/>
  <c r="A520" i="3"/>
  <c r="B520" i="3" s="1"/>
  <c r="L519" i="3"/>
  <c r="U519" i="3" l="1"/>
  <c r="Y518" i="3"/>
  <c r="AA520" i="3"/>
  <c r="AC520" i="3"/>
  <c r="Z520" i="3"/>
  <c r="AD520" i="3"/>
  <c r="P520" i="3"/>
  <c r="Q520" i="3" s="1"/>
  <c r="R520" i="3" s="1"/>
  <c r="S520" i="3" s="1"/>
  <c r="T520" i="3" l="1"/>
  <c r="D520" i="3" s="1"/>
  <c r="AG520" i="3" l="1"/>
  <c r="E520" i="3"/>
  <c r="H520" i="3" s="1"/>
  <c r="K520" i="3" s="1"/>
  <c r="AE520" i="3" s="1"/>
  <c r="AH520" i="3"/>
  <c r="G520" i="3"/>
  <c r="F520" i="3" l="1"/>
  <c r="I520" i="3"/>
  <c r="J520" i="3"/>
  <c r="M520" i="3"/>
  <c r="N520" i="3" s="1"/>
  <c r="V520" i="3"/>
  <c r="A521" i="3"/>
  <c r="B521" i="3" s="1"/>
  <c r="W520" i="3" l="1"/>
  <c r="L520" i="3"/>
  <c r="P521" i="3"/>
  <c r="Q521" i="3" s="1"/>
  <c r="R521" i="3" s="1"/>
  <c r="S521" i="3" s="1"/>
  <c r="AC521" i="3"/>
  <c r="AA521" i="3"/>
  <c r="AD521" i="3"/>
  <c r="Z521" i="3"/>
  <c r="U520" i="3" l="1"/>
  <c r="Y519" i="3"/>
  <c r="T521" i="3"/>
  <c r="AH521" i="3" s="1"/>
  <c r="AG521" i="3" l="1"/>
  <c r="D521" i="3"/>
  <c r="E521" i="3"/>
  <c r="H521" i="3" s="1"/>
  <c r="K521" i="3" s="1"/>
  <c r="AE521" i="3" s="1"/>
  <c r="F521" i="3" l="1"/>
  <c r="G521" i="3"/>
  <c r="I521" i="3" s="1"/>
  <c r="V521" i="3"/>
  <c r="A522" i="3"/>
  <c r="B522" i="3" s="1"/>
  <c r="M521" i="3" l="1"/>
  <c r="N521" i="3" s="1"/>
  <c r="J521" i="3"/>
  <c r="L521" i="3" s="1"/>
  <c r="W521" i="3"/>
  <c r="AC522" i="3"/>
  <c r="P522" i="3"/>
  <c r="Q522" i="3" s="1"/>
  <c r="R522" i="3" s="1"/>
  <c r="S522" i="3" s="1"/>
  <c r="AA522" i="3"/>
  <c r="AD522" i="3"/>
  <c r="Z522" i="3"/>
  <c r="U521" i="3" l="1"/>
  <c r="Y520" i="3"/>
  <c r="T522" i="3"/>
  <c r="AG522" i="3" s="1"/>
  <c r="AH522" i="3" l="1"/>
  <c r="E522" i="3"/>
  <c r="H522" i="3" s="1"/>
  <c r="D522" i="3"/>
  <c r="K522" i="3" l="1"/>
  <c r="AE522" i="3" s="1"/>
  <c r="F522" i="3"/>
  <c r="G522" i="3"/>
  <c r="I522" i="3" l="1"/>
  <c r="J522" i="3"/>
  <c r="M522" i="3"/>
  <c r="N522" i="3" s="1"/>
  <c r="V522" i="3"/>
  <c r="A523" i="3"/>
  <c r="B523" i="3" s="1"/>
  <c r="W522" i="3" l="1"/>
  <c r="L522" i="3"/>
  <c r="AC523" i="3"/>
  <c r="Z523" i="3"/>
  <c r="AD523" i="3"/>
  <c r="AA523" i="3"/>
  <c r="P523" i="3"/>
  <c r="Q523" i="3" s="1"/>
  <c r="R523" i="3" s="1"/>
  <c r="S523" i="3" s="1"/>
  <c r="U522" i="3" l="1"/>
  <c r="Y521" i="3"/>
  <c r="T523" i="3"/>
  <c r="AG523" i="3" s="1"/>
  <c r="AH523" i="3" l="1"/>
  <c r="D523" i="3"/>
  <c r="G523" i="3" s="1"/>
  <c r="E523" i="3"/>
  <c r="H523" i="3" s="1"/>
  <c r="F523" i="3" l="1"/>
  <c r="I523" i="3"/>
  <c r="J523" i="3"/>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AD529" i="3"/>
  <c r="P529" i="3"/>
  <c r="Q529" i="3" s="1"/>
  <c r="R529" i="3" s="1"/>
  <c r="S529" i="3" s="1"/>
  <c r="AA529" i="3"/>
  <c r="L528" i="3" l="1"/>
  <c r="Y527" i="3" s="1"/>
  <c r="AD528" i="3"/>
  <c r="T529" i="3"/>
  <c r="AG529" i="3" l="1"/>
  <c r="U528" i="3"/>
  <c r="D529" i="3" s="1"/>
  <c r="G529" i="3" s="1"/>
  <c r="AH529" i="3"/>
  <c r="E529" i="3" l="1"/>
  <c r="H529" i="3" s="1"/>
  <c r="K529" i="3" s="1"/>
  <c r="AE529" i="3" s="1"/>
  <c r="J529" i="3"/>
  <c r="A530" i="3" l="1"/>
  <c r="B530" i="3" s="1"/>
  <c r="P530" i="3" s="1"/>
  <c r="Q530" i="3" s="1"/>
  <c r="R530" i="3" s="1"/>
  <c r="S530" i="3" s="1"/>
  <c r="V529" i="3"/>
  <c r="M529" i="3"/>
  <c r="N529" i="3" s="1"/>
  <c r="I529" i="3"/>
  <c r="F529" i="3"/>
  <c r="L529" i="3"/>
  <c r="AC530" i="3" l="1"/>
  <c r="AD530" i="3"/>
  <c r="Z530" i="3"/>
  <c r="AA530" i="3"/>
  <c r="W529" i="3"/>
  <c r="T530" i="3"/>
  <c r="U529" i="3"/>
  <c r="Y528" i="3"/>
  <c r="AG530" i="3" l="1"/>
  <c r="D530" i="3"/>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D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M545" i="3"/>
  <c r="N545" i="3" s="1"/>
  <c r="AC546" i="3"/>
  <c r="P546" i="3"/>
  <c r="Q546" i="3" s="1"/>
  <c r="R546" i="3" s="1"/>
  <c r="S546" i="3" s="1"/>
  <c r="Z546" i="3"/>
  <c r="AA546" i="3"/>
  <c r="AD546" i="3"/>
  <c r="T546" i="3" l="1"/>
  <c r="L545" i="3"/>
  <c r="U545" i="3" l="1"/>
  <c r="D546" i="3" s="1"/>
  <c r="AG546" i="3"/>
  <c r="AH546" i="3"/>
  <c r="Y544" i="3"/>
  <c r="E546" i="3" l="1"/>
  <c r="H546" i="3" s="1"/>
  <c r="K546" i="3" s="1"/>
  <c r="AE546" i="3" s="1"/>
  <c r="G546" i="3"/>
  <c r="F546" i="3" l="1"/>
  <c r="V546" i="3"/>
  <c r="A547" i="3"/>
  <c r="B547" i="3" s="1"/>
  <c r="I546" i="3"/>
  <c r="J546" i="3"/>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AD549" i="3"/>
  <c r="T549" i="3" l="1"/>
  <c r="L548" i="3"/>
  <c r="AH549" i="3" l="1"/>
  <c r="U548" i="3"/>
  <c r="E549" i="3" s="1"/>
  <c r="H549" i="3" s="1"/>
  <c r="AG549" i="3"/>
  <c r="Y547" i="3"/>
  <c r="K549" i="3" l="1"/>
  <c r="AE549" i="3" s="1"/>
  <c r="D549" i="3"/>
  <c r="V549" i="3" l="1"/>
  <c r="A550" i="3"/>
  <c r="B550" i="3" s="1"/>
  <c r="F549" i="3"/>
  <c r="G549" i="3"/>
  <c r="I549" i="3" l="1"/>
  <c r="W549" i="3" s="1"/>
  <c r="J549" i="3"/>
  <c r="M549" i="3"/>
  <c r="N549" i="3" s="1"/>
  <c r="P550" i="3"/>
  <c r="Q550" i="3" s="1"/>
  <c r="R550" i="3" s="1"/>
  <c r="S550" i="3" s="1"/>
  <c r="AA550" i="3"/>
  <c r="AC550" i="3"/>
  <c r="Z550" i="3"/>
  <c r="AD550" i="3"/>
  <c r="T550" i="3" l="1"/>
  <c r="L549" i="3"/>
  <c r="U549" i="3" l="1"/>
  <c r="D550" i="3" s="1"/>
  <c r="AH550" i="3"/>
  <c r="AG550" i="3"/>
  <c r="Y548" i="3"/>
  <c r="E550" i="3" l="1"/>
  <c r="H550" i="3" s="1"/>
  <c r="K550" i="3" s="1"/>
  <c r="AE550" i="3" s="1"/>
  <c r="G550" i="3"/>
  <c r="F550" i="3" l="1"/>
  <c r="I550" i="3"/>
  <c r="J550" i="3"/>
  <c r="M550" i="3"/>
  <c r="N550" i="3" s="1"/>
  <c r="V550" i="3"/>
  <c r="A551" i="3"/>
  <c r="B551" i="3" s="1"/>
  <c r="W550" i="3" l="1"/>
  <c r="L550" i="3"/>
  <c r="AD551" i="3"/>
  <c r="P551" i="3"/>
  <c r="Q551" i="3" s="1"/>
  <c r="R551" i="3" s="1"/>
  <c r="S551" i="3" s="1"/>
  <c r="AC551" i="3"/>
  <c r="AA551" i="3"/>
  <c r="Z551" i="3"/>
  <c r="T551" i="3" l="1"/>
  <c r="AG551" i="3" s="1"/>
  <c r="U550" i="3"/>
  <c r="Y549" i="3"/>
  <c r="D551" i="3" l="1"/>
  <c r="G551" i="3" s="1"/>
  <c r="AH551" i="3"/>
  <c r="E551" i="3"/>
  <c r="H551" i="3" s="1"/>
  <c r="F551" i="3" l="1"/>
  <c r="I551" i="3"/>
  <c r="J551" i="3"/>
  <c r="M551" i="3"/>
  <c r="N551" i="3" s="1"/>
  <c r="K551" i="3"/>
  <c r="AE551" i="3" s="1"/>
  <c r="V551" i="3" l="1"/>
  <c r="W551" i="3" s="1"/>
  <c r="A552" i="3"/>
  <c r="B552" i="3" s="1"/>
  <c r="L551" i="3"/>
  <c r="U551" i="3" l="1"/>
  <c r="Y550" i="3"/>
  <c r="AA552" i="3"/>
  <c r="P552" i="3"/>
  <c r="Q552" i="3" s="1"/>
  <c r="R552" i="3" s="1"/>
  <c r="S552" i="3" s="1"/>
  <c r="AC552" i="3"/>
  <c r="Z552" i="3"/>
  <c r="AD552" i="3"/>
  <c r="T552" i="3" l="1"/>
  <c r="D552" i="3" s="1"/>
  <c r="AG552" i="3" l="1"/>
  <c r="AH552" i="3"/>
  <c r="E552" i="3"/>
  <c r="H552" i="3" s="1"/>
  <c r="K552" i="3" s="1"/>
  <c r="AE552" i="3" s="1"/>
  <c r="G552" i="3"/>
  <c r="F552" i="3" l="1"/>
  <c r="I552" i="3"/>
  <c r="J552" i="3"/>
  <c r="M552" i="3"/>
  <c r="N552" i="3" s="1"/>
  <c r="V552" i="3"/>
  <c r="A553" i="3"/>
  <c r="B553" i="3" s="1"/>
  <c r="W552" i="3" l="1"/>
  <c r="L552" i="3"/>
  <c r="P553" i="3"/>
  <c r="Q553" i="3" s="1"/>
  <c r="R553" i="3" s="1"/>
  <c r="S553" i="3" s="1"/>
  <c r="Z553" i="3"/>
  <c r="AC553" i="3"/>
  <c r="AA553" i="3"/>
  <c r="AD553" i="3"/>
  <c r="T553" i="3" l="1"/>
  <c r="U552" i="3"/>
  <c r="Y551" i="3"/>
  <c r="D553" i="3" l="1"/>
  <c r="G553" i="3" s="1"/>
  <c r="AH553" i="3"/>
  <c r="AG553" i="3"/>
  <c r="E553" i="3"/>
  <c r="H553" i="3" s="1"/>
  <c r="K553" i="3" l="1"/>
  <c r="AE553" i="3" s="1"/>
  <c r="F553" i="3"/>
  <c r="I553" i="3"/>
  <c r="J553" i="3"/>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AD555" i="3"/>
  <c r="L554" i="3" l="1"/>
  <c r="T555" i="3"/>
  <c r="U554" i="3" l="1"/>
  <c r="E555" i="3" s="1"/>
  <c r="H555" i="3" s="1"/>
  <c r="AG555" i="3"/>
  <c r="AH555" i="3"/>
  <c r="Y553" i="3"/>
  <c r="K555" i="3" l="1"/>
  <c r="AE555" i="3" s="1"/>
  <c r="D555" i="3"/>
  <c r="F555" i="3" l="1"/>
  <c r="G555" i="3"/>
  <c r="V555" i="3"/>
  <c r="A556" i="3"/>
  <c r="B556" i="3" s="1"/>
  <c r="P556" i="3" l="1"/>
  <c r="Q556" i="3" s="1"/>
  <c r="R556" i="3" s="1"/>
  <c r="S556" i="3" s="1"/>
  <c r="AA556" i="3"/>
  <c r="AD556" i="3"/>
  <c r="Z556" i="3"/>
  <c r="AC556" i="3"/>
  <c r="I555" i="3"/>
  <c r="W555" i="3" s="1"/>
  <c r="J555" i="3"/>
  <c r="M555" i="3"/>
  <c r="N555" i="3" s="1"/>
  <c r="T556" i="3" l="1"/>
  <c r="L555" i="3"/>
  <c r="AH556" i="3" l="1"/>
  <c r="U555" i="3"/>
  <c r="D556" i="3" s="1"/>
  <c r="AG556" i="3"/>
  <c r="Y554" i="3"/>
  <c r="E556" i="3" l="1"/>
  <c r="H556" i="3" s="1"/>
  <c r="K556" i="3" s="1"/>
  <c r="AE556" i="3" s="1"/>
  <c r="G556" i="3"/>
  <c r="F556" i="3" l="1"/>
  <c r="I556" i="3"/>
  <c r="J556" i="3"/>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AD559" i="3"/>
  <c r="T559" i="3" l="1"/>
  <c r="U558" i="3"/>
  <c r="Y557" i="3"/>
  <c r="E559" i="3" l="1"/>
  <c r="H559" i="3" s="1"/>
  <c r="K559" i="3" s="1"/>
  <c r="AE559" i="3" s="1"/>
  <c r="AH559" i="3"/>
  <c r="AG559" i="3"/>
  <c r="D559" i="3"/>
  <c r="V559" i="3" l="1"/>
  <c r="A560" i="3"/>
  <c r="B560" i="3" s="1"/>
  <c r="F559" i="3"/>
  <c r="G559" i="3"/>
  <c r="I559" i="3" l="1"/>
  <c r="W559" i="3" s="1"/>
  <c r="J559" i="3"/>
  <c r="M559" i="3"/>
  <c r="N559" i="3" s="1"/>
  <c r="AD560" i="3"/>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M560" i="3"/>
  <c r="N560" i="3" s="1"/>
  <c r="W560" i="3" l="1"/>
  <c r="L560" i="3"/>
  <c r="AA561" i="3"/>
  <c r="P561" i="3"/>
  <c r="Q561" i="3" s="1"/>
  <c r="R561" i="3" s="1"/>
  <c r="S561" i="3" s="1"/>
  <c r="Z561" i="3"/>
  <c r="AD561" i="3"/>
  <c r="AC561" i="3"/>
  <c r="U560" i="3" l="1"/>
  <c r="Y559" i="3"/>
  <c r="T561" i="3"/>
  <c r="E561" i="3" l="1"/>
  <c r="H561" i="3" s="1"/>
  <c r="K561" i="3" s="1"/>
  <c r="AE561" i="3" s="1"/>
  <c r="D561" i="3"/>
  <c r="AH561" i="3"/>
  <c r="AG561" i="3"/>
  <c r="F561" i="3" l="1"/>
  <c r="G561" i="3"/>
  <c r="M561" i="3" s="1"/>
  <c r="N561" i="3" s="1"/>
  <c r="V561" i="3"/>
  <c r="A562" i="3"/>
  <c r="B562" i="3" s="1"/>
  <c r="I561" i="3" l="1"/>
  <c r="W561" i="3" s="1"/>
  <c r="J561" i="3"/>
  <c r="L561" i="3" s="1"/>
  <c r="Z562" i="3"/>
  <c r="AA562" i="3"/>
  <c r="AD562" i="3"/>
  <c r="P562" i="3"/>
  <c r="Q562" i="3" s="1"/>
  <c r="R562" i="3" s="1"/>
  <c r="S562" i="3" s="1"/>
  <c r="AC562" i="3"/>
  <c r="U561" i="3" l="1"/>
  <c r="Y560" i="3"/>
  <c r="T562" i="3"/>
  <c r="AH562" i="3" s="1"/>
  <c r="AG562" i="3" l="1"/>
  <c r="E562" i="3"/>
  <c r="H562" i="3" s="1"/>
  <c r="K562" i="3" s="1"/>
  <c r="AE562" i="3" s="1"/>
  <c r="D562" i="3"/>
  <c r="F562" i="3" l="1"/>
  <c r="G562" i="3"/>
  <c r="J562" i="3" s="1"/>
  <c r="V562" i="3"/>
  <c r="A563" i="3"/>
  <c r="B563" i="3" s="1"/>
  <c r="M562" i="3" l="1"/>
  <c r="N562" i="3" s="1"/>
  <c r="I562" i="3"/>
  <c r="W562" i="3" s="1"/>
  <c r="L562" i="3"/>
  <c r="Z563" i="3"/>
  <c r="P563" i="3"/>
  <c r="Q563" i="3" s="1"/>
  <c r="R563" i="3" s="1"/>
  <c r="S563" i="3" s="1"/>
  <c r="AC563" i="3"/>
  <c r="AA563" i="3"/>
  <c r="AD563" i="3"/>
  <c r="U562" i="3" l="1"/>
  <c r="Y561" i="3"/>
  <c r="T563" i="3"/>
  <c r="AH563" i="3" s="1"/>
  <c r="AG563" i="3" l="1"/>
  <c r="D563" i="3"/>
  <c r="E563" i="3"/>
  <c r="H563" i="3" s="1"/>
  <c r="K563" i="3" s="1"/>
  <c r="AE563" i="3" s="1"/>
  <c r="F563" i="3" l="1"/>
  <c r="G563" i="3"/>
  <c r="M563" i="3" s="1"/>
  <c r="N563" i="3" s="1"/>
  <c r="V563" i="3"/>
  <c r="A564" i="3"/>
  <c r="B564" i="3" s="1"/>
  <c r="I563" i="3" l="1"/>
  <c r="W563" i="3" s="1"/>
  <c r="J563" i="3"/>
  <c r="L563" i="3" s="1"/>
  <c r="Z564" i="3"/>
  <c r="P564" i="3"/>
  <c r="Q564" i="3" s="1"/>
  <c r="R564" i="3" s="1"/>
  <c r="S564" i="3" s="1"/>
  <c r="AC564" i="3"/>
  <c r="AA564" i="3"/>
  <c r="U563" i="3" l="1"/>
  <c r="Y562" i="3"/>
  <c r="T564" i="3"/>
  <c r="AH564" i="3" s="1"/>
  <c r="D564" i="3" l="1"/>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AD573" i="3"/>
  <c r="U573" i="3"/>
  <c r="Y572" i="3"/>
  <c r="T574" i="3"/>
  <c r="AH574" i="3" s="1"/>
  <c r="D574" i="3" l="1"/>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U579" i="3" s="1"/>
  <c r="AD579" i="3"/>
  <c r="Y578" i="3"/>
  <c r="T580" i="3"/>
  <c r="AH580" i="3" s="1"/>
  <c r="E580" i="3" l="1"/>
  <c r="H580" i="3" s="1"/>
  <c r="D580" i="3"/>
  <c r="AG580" i="3"/>
  <c r="K580" i="3" l="1"/>
  <c r="AE580" i="3" s="1"/>
  <c r="F580" i="3"/>
  <c r="G580" i="3"/>
  <c r="I580" i="3" l="1"/>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I774" i="3"/>
  <c r="W774" i="3" s="1"/>
  <c r="J774" i="3"/>
  <c r="P775" i="3"/>
  <c r="Q775" i="3" s="1"/>
  <c r="R775" i="3" s="1"/>
  <c r="S775" i="3" s="1"/>
  <c r="Z775" i="3"/>
  <c r="AD775" i="3"/>
  <c r="AA775" i="3"/>
  <c r="AC775" i="3"/>
  <c r="L774" i="3" l="1"/>
  <c r="Y773"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AH794" i="3"/>
  <c r="AG794" i="3"/>
  <c r="D794" i="3"/>
  <c r="E794" i="3"/>
  <c r="H794" i="3" s="1"/>
  <c r="F794" i="3" l="1"/>
  <c r="G794" i="3"/>
  <c r="K794" i="3"/>
  <c r="AE794" i="3" s="1"/>
  <c r="I794" i="3" l="1"/>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l="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<sst xmlns="http://schemas.openxmlformats.org/spreadsheetml/2006/main" count="1732" uniqueCount="573">
  <si>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</si>
  <si>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</si>
  <si>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</si>
  <si>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</si>
  <si>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</si>
  <si>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</si>
  <si>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</si>
  <si>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</si>
  <si>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</si>
  <si>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</si>
  <si>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</si>
  <si>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</si>
  <si>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</si>
  <si>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</si>
  <si>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</si>
  <si>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</si>
  <si>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</si>
  <si>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</si>
  <si>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</si>
  <si>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</si>
  <si>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</si>
  <si>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</si>
  <si>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</si>
  <si>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</si>
  <si>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</si>
  <si>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</si>
  <si>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</si>
  <si>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</si>
  <si>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</si>
  <si>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</si>
  <si>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</si>
  <si>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</si>
  <si>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</si>
  <si>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</si>
  <si>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</si>
  <si>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</si>
  <si>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</si>
  <si>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</si>
  <si>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</si>
  <si>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</si>
  <si>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</si>
  <si>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</si>
  <si>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</si>
  <si>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</si>
  <si>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</si>
  <si>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</si>
  <si>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</si>
  <si>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</si>
  <si>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</si>
  <si>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</si>
  <si>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</si>
  <si>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</si>
  <si>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</si>
  <si>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</si>
  <si>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</si>
  <si>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</si>
  <si>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</si>
  <si>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</si>
  <si>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</si>
  <si>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</si>
  <si>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</si>
  <si>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</si>
  <si>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</si>
  <si>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</si>
  <si>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</si>
  <si>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</si>
  <si>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</si>
  <si>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</si>
  <si>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</si>
  <si>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</si>
  <si>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</si>
  <si>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</si>
  <si>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</si>
  <si>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</si>
  <si>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</si>
  <si>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</si>
  <si>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</si>
  <si>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</si>
  <si>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</si>
  <si>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</si>
  <si>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</si>
  <si>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</si>
  <si>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</si>
  <si>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</si>
  <si>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</si>
  <si>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</si>
  <si>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</si>
  <si>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</si>
  <si>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</si>
  <si>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</si>
  <si>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</si>
  <si>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</si>
  <si>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</si>
  <si>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</si>
  <si>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</si>
  <si>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</si>
  <si>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</si>
  <si>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</si>
  <si>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</si>
  <si>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</si>
  <si>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</si>
  <si>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</si>
  <si>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</si>
  <si>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</si>
  <si>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</si>
  <si>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</si>
  <si>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</si>
  <si>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</si>
  <si>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</si>
  <si>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</si>
  <si>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</si>
  <si>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</si>
  <si>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</si>
  <si>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</si>
  <si>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</si>
  <si>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</si>
  <si>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</si>
  <si>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</si>
  <si>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</si>
  <si>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</si>
  <si>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</si>
  <si>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</si>
  <si>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</si>
  <si>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</si>
  <si>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</si>
  <si>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</si>
  <si>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</si>
  <si>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</si>
  <si>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</si>
  <si>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</si>
  <si>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</si>
  <si>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</si>
  <si>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</si>
  <si>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</si>
  <si>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</si>
  <si>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</si>
  <si>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</si>
  <si>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</si>
  <si>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</si>
  <si>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</si>
  <si>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</si>
  <si>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</si>
  <si>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</si>
  <si>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</si>
  <si>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</si>
  <si>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</si>
  <si>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</si>
  <si>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</si>
  <si>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</si>
  <si>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</si>
  <si>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</si>
  <si>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</si>
  <si>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</si>
  <si>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</si>
  <si>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</si>
  <si>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</si>
  <si>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</si>
  <si>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</si>
  <si>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</si>
  <si>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</si>
  <si>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</si>
  <si>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</si>
  <si>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</si>
  <si>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</si>
  <si>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</si>
  <si>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</si>
  <si>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</si>
  <si>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</si>
  <si>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</si>
  <si>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</si>
  <si>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</si>
  <si>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</si>
  <si>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</si>
  <si>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</si>
  <si>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</si>
  <si>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</si>
  <si>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</si>
  <si>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</si>
  <si>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</si>
  <si>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</si>
  <si>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</si>
  <si>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</si>
  <si>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</si>
  <si>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</si>
  <si>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</si>
  <si>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</si>
  <si>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</si>
  <si>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</si>
  <si>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</si>
  <si>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</si>
  <si>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</si>
  <si>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</si>
  <si>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</si>
  <si>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</si>
  <si>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</si>
  <si>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</si>
  <si>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</si>
  <si>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</si>
  <si>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</si>
  <si>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</si>
  <si>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</si>
  <si>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</si>
  <si>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</si>
  <si>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</si>
  <si>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</si>
  <si>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</si>
  <si>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</si>
  <si>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</si>
  <si>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</si>
  <si>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</si>
  <si>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</si>
  <si>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</si>
  <si>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</si>
  <si>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</si>
  <si>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</si>
  <si>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</si>
  <si>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</si>
  <si>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</si>
  <si>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</si>
  <si>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</si>
  <si>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</si>
  <si>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</si>
  <si>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</si>
  <si>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</si>
  <si>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</si>
  <si>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</si>
  <si>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</si>
  <si>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</si>
  <si>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</si>
  <si>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</si>
  <si>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</si>
  <si>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</si>
  <si>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</si>
  <si>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</si>
  <si>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</si>
  <si>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</si>
  <si>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</si>
  <si>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</si>
  <si>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</si>
  <si>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</si>
  <si>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</si>
  <si>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</si>
  <si>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</si>
  <si>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</si>
  <si>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</si>
  <si>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</si>
  <si>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</si>
  <si>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</si>
  <si>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</si>
  <si>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</si>
  <si>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</si>
  <si>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</si>
  <si>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</si>
  <si>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</si>
  <si>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</si>
  <si>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</si>
  <si>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</si>
  <si>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</si>
  <si>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</si>
  <si>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</si>
  <si>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</si>
  <si>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</si>
  <si>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</si>
  <si>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</si>
  <si>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</si>
  <si>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</si>
  <si>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</si>
  <si>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</si>
  <si>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</si>
  <si>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</si>
  <si>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</si>
  <si>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</si>
  <si>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</si>
  <si>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</si>
  <si>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</si>
  <si>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</si>
  <si>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</si>
  <si>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</si>
  <si>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</si>
  <si>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</si>
  <si>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</si>
  <si>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</si>
  <si>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</si>
  <si>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</si>
  <si>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</si>
  <si>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</si>
  <si>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</si>
  <si>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</si>
  <si>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</si>
  <si>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</si>
  <si>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</si>
  <si>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</si>
  <si>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</si>
  <si>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</si>
  <si>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</si>
  <si>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</si>
  <si>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</si>
  <si>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</si>
  <si>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</si>
  <si>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</si>
  <si>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</si>
  <si>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</si>
  <si>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</si>
  <si>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</si>
  <si>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</si>
  <si>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</si>
  <si>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</si>
  <si>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</si>
  <si>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</si>
  <si>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</si>
  <si>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</si>
  <si>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</si>
  <si>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</si>
  <si>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</si>
  <si>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</si>
  <si>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</si>
  <si>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</si>
  <si>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</si>
  <si>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</si>
  <si>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</si>
  <si>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</si>
  <si>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</si>
  <si>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</si>
  <si>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</si>
  <si>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</si>
  <si>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</si>
  <si>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</si>
  <si>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</si>
  <si>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</si>
  <si>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</si>
  <si>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</si>
  <si>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</si>
  <si>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</si>
  <si>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</si>
  <si>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</si>
  <si>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</si>
  <si>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</si>
  <si>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</si>
  <si>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</si>
  <si>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</si>
  <si>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</si>
  <si>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</si>
  <si>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</si>
  <si>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</si>
  <si>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</si>
  <si>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</si>
  <si>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</si>
  <si>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</si>
  <si>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</si>
  <si>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</si>
  <si>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</si>
  <si>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</si>
  <si>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</si>
  <si>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</si>
  <si>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</si>
  <si>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</si>
  <si>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</si>
  <si>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</si>
  <si>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</si>
  <si>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</si>
  <si>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</si>
  <si>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</si>
  <si>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</si>
  <si>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</si>
  <si>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</si>
  <si>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</si>
  <si>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</si>
  <si>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</si>
  <si>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</si>
  <si>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</si>
  <si>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</si>
  <si>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</si>
  <si>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</si>
  <si>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</si>
  <si>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</si>
  <si>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</si>
  <si>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</si>
  <si>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</si>
  <si>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</si>
  <si>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</si>
  <si>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</si>
  <si>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</si>
  <si>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</si>
  <si>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</si>
  <si>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</si>
  <si>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</si>
  <si>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</si>
  <si>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</si>
  <si>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</si>
  <si>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</si>
  <si>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</si>
  <si>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</si>
  <si>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</si>
  <si>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</si>
  <si>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</si>
  <si>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</si>
  <si>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</si>
  <si>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</si>
  <si>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</si>
  <si>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</si>
  <si>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</si>
  <si>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</si>
  <si>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</si>
  <si>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</si>
  <si>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</si>
  <si>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</si>
  <si>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</si>
  <si>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</si>
  <si>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</si>
  <si>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</si>
  <si>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</si>
  <si>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</si>
  <si>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</si>
  <si>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</si>
  <si>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</si>
  <si>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</si>
  <si>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</si>
  <si>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</si>
  <si>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</si>
  <si>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</si>
  <si>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</si>
  <si>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</si>
  <si>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</si>
  <si>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</si>
  <si>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</si>
  <si>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</si>
  <si>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</si>
  <si>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</si>
  <si>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</si>
  <si>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</si>
  <si>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</si>
  <si>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</si>
  <si>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</si>
  <si>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</si>
  <si>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</si>
  <si>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</si>
  <si>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</si>
  <si>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</si>
  <si>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</si>
  <si>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</si>
  <si>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</si>
  <si>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</si>
  <si>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</si>
  <si>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</si>
  <si>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</si>
  <si>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</si>
  <si>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</si>
  <si>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</si>
  <si>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</si>
  <si>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</si>
  <si>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</si>
  <si>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</si>
  <si>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</si>
  <si>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</si>
  <si>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</si>
  <si>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</si>
  <si>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</si>
  <si>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</si>
  <si>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</si>
  <si>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</si>
  <si>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</si>
  <si>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</si>
  <si>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</si>
  <si>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</si>
  <si>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</si>
  <si>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</si>
  <si>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</si>
  <si>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</si>
  <si>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</si>
  <si>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</si>
  <si>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</si>
  <si>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</si>
  <si>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</si>
  <si>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</si>
  <si>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</si>
  <si>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</si>
  <si>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</si>
  <si>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</si>
  <si>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</si>
  <si>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</si>
  <si>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</si>
  <si>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</si>
  <si>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</si>
  <si>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</si>
  <si>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</si>
  <si>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</si>
  <si>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</si>
  <si>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</si>
  <si>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</si>
  <si>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</si>
  <si>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</si>
  <si>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</si>
  <si>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</si>
  <si>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</si>
  <si>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</si>
  <si>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</si>
  <si>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</si>
  <si>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</si>
  <si>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</si>
  <si>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</si>
  <si>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</si>
  <si>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</si>
  <si>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</si>
  <si>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</si>
  <si>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</si>
  <si>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</si>
  <si>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</si>
  <si>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</si>
  <si>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</si>
  <si>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</si>
  <si>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</si>
  <si>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</si>
  <si>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</si>
  <si>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</si>
  <si>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</si>
  <si>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</si>
  <si>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</si>
  <si>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</si>
  <si>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</si>
  <si>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</si>
  <si>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</si>
  <si>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</si>
  <si>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</si>
  <si>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</si>
  <si>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</si>
  <si>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</si>
  <si>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</si>
  <si>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</si>
  <si>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</si>
  <si>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</si>
  <si>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</si>
  <si>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</si>
  <si>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</si>
  <si>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</si>
  <si>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</si>
  <si>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</si>
  <si>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</si>
  <si>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</si>
  <si>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</si>
  <si>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</si>
  <si>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</si>
  <si>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</si>
  <si>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</si>
  <si>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</si>
  <si>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</si>
  <si>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</si>
  <si>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</si>
  <si>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</si>
  <si>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</si>
  <si>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</si>
  <si>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</si>
  <si>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</si>
  <si>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</si>
  <si>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</si>
  <si>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</si>
  <si>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</si>
  <si>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</si>
  <si>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</si>
  <si>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</si>
  <si>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</si>
  <si>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</si>
  <si>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</si>
  <si>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</si>
  <si>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</si>
  <si>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</si>
  <si>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</si>
  <si>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</si>
  <si>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</si>
  <si>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Fusée expérimentale.</t>
  </si>
  <si>
    <t>L'AéroIPSA</t>
  </si>
  <si>
    <t>Conique (droite)</t>
  </si>
  <si>
    <t>Plusieurs diamètres.</t>
  </si>
  <si>
    <t>SP02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</si>
</sst>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0" fontId="45" fillId="0" borderId="83"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166" fontId="2" fillId="17" borderId="46" xfId="0" applyNumberFormat="1" applyFont="1" applyFill="1" applyBorder="1" applyAlignment="1">
      <alignment horizontal="center" vertic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0" borderId="33" xfId="0" applyBorder="1" applyAlignment="1">
      <alignment horizontal="center"/>
    </xf>
    <xf numFmtId="0" fontId="0" fillId="0" borderId="0" xfId="0" applyAlignment="1">
      <alignment horizontal="center"/>
    </xf>
    <xf numFmtId="0" fontId="0" fillId="0" borderId="0" xfId="0"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0" borderId="33" xfId="0" applyBorder="1"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165" fontId="2" fillId="0" borderId="12" xfId="0" applyNumberFormat="1" applyFont="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-275</c:v>
                </c:pt>
                <c:pt idx="1">
                  <c:v>-275</c:v>
                </c:pt>
                <c:pt idx="2">
                  <c:v>-1250</c:v>
                </c:pt>
                <c:pt idx="3">
                  <c:v>-1300</c:v>
                </c:pt>
                <c:pt idx="4">
                  <c:v>-1922</c:v>
                </c:pt>
                <c:pt idx="5">
                  <c:v>-1992</c:v>
                </c:pt>
                <c:pt idx="6">
                  <c:v>-1992</c:v>
                </c:pt>
                <c:pt idx="7">
                  <c:v>-1992</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52</c:v>
                </c:pt>
                <c:pt idx="1">
                  <c:v>182</c:v>
                </c:pt>
                <c:pt idx="2">
                  <c:v>182</c:v>
                </c:pt>
                <c:pt idx="3">
                  <c:v>52</c:v>
                </c:pt>
                <c:pt idx="4">
                  <c:v>52</c:v>
                </c:pt>
              </c:numCache>
            </c:numRef>
          </c:xVal>
          <c:yVal>
            <c:numRef>
              <c:f>Stabilito!$C$132:$C$136</c:f>
              <c:numCache>
                <c:formatCode>0</c:formatCode>
                <c:ptCount val="5"/>
                <c:pt idx="0">
                  <c:v>-1732</c:v>
                </c:pt>
                <c:pt idx="1">
                  <c:v>-1862</c:v>
                </c:pt>
                <c:pt idx="2">
                  <c:v>-1982</c:v>
                </c:pt>
                <c:pt idx="3">
                  <c:v>-1922</c:v>
                </c:pt>
                <c:pt idx="4">
                  <c:v>-1732</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-275</c:v>
                </c:pt>
                <c:pt idx="1">
                  <c:v>-275</c:v>
                </c:pt>
                <c:pt idx="2">
                  <c:v>-1250</c:v>
                </c:pt>
                <c:pt idx="3">
                  <c:v>-1300</c:v>
                </c:pt>
                <c:pt idx="4">
                  <c:v>-1922</c:v>
                </c:pt>
                <c:pt idx="5">
                  <c:v>-1992</c:v>
                </c:pt>
                <c:pt idx="6">
                  <c:v>-1992</c:v>
                </c:pt>
                <c:pt idx="7">
                  <c:v>-1992</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-52</c:v>
                </c:pt>
                <c:pt idx="1">
                  <c:v>-182</c:v>
                </c:pt>
                <c:pt idx="2">
                  <c:v>-182</c:v>
                </c:pt>
                <c:pt idx="3">
                  <c:v>-52</c:v>
                </c:pt>
                <c:pt idx="4">
                  <c:v>-52</c:v>
                </c:pt>
              </c:numCache>
            </c:numRef>
          </c:xVal>
          <c:yVal>
            <c:numRef>
              <c:f>Stabilito!$C$132:$C$136</c:f>
              <c:numCache>
                <c:formatCode>0</c:formatCode>
                <c:ptCount val="5"/>
                <c:pt idx="0">
                  <c:v>-1732</c:v>
                </c:pt>
                <c:pt idx="1">
                  <c:v>-1862</c:v>
                </c:pt>
                <c:pt idx="2">
                  <c:v>-1982</c:v>
                </c:pt>
                <c:pt idx="3">
                  <c:v>-1922</c:v>
                </c:pt>
                <c:pt idx="4">
                  <c:v>-1732</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-1145.418104467029</c:v>
                </c:pt>
                <c:pt idx="1">
                  <c:v>-1064.6524064171124</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132.31494300750461</c:v>
                </c:pt>
                <c:pt idx="2">
                  <c:v>162.82668950209006</c:v>
                </c:pt>
                <c:pt idx="3">
                  <c:v>0</c:v>
                </c:pt>
              </c:numCache>
            </c:numRef>
          </c:xVal>
          <c:yVal>
            <c:numRef>
              <c:f>Stabilito!$C$151:$C$154</c:f>
              <c:numCache>
                <c:formatCode>0</c:formatCode>
                <c:ptCount val="4"/>
                <c:pt idx="0">
                  <c:v>-1284.4732921075772</c:v>
                </c:pt>
                <c:pt idx="1">
                  <c:v>-1284.4732921075772</c:v>
                </c:pt>
                <c:pt idx="2">
                  <c:v>-1384.8972193160212</c:v>
                </c:pt>
                <c:pt idx="3">
                  <c:v>-1384.8972193160212</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52</c:v>
                </c:pt>
                <c:pt idx="1">
                  <c:v>162</c:v>
                </c:pt>
                <c:pt idx="2">
                  <c:v>162</c:v>
                </c:pt>
                <c:pt idx="3">
                  <c:v>52</c:v>
                </c:pt>
                <c:pt idx="4">
                  <c:v>52</c:v>
                </c:pt>
              </c:numCache>
            </c:numRef>
          </c:xVal>
          <c:yVal>
            <c:numRef>
              <c:f>Stabilito!$C$158:$C$162</c:f>
              <c:numCache>
                <c:formatCode>0</c:formatCode>
                <c:ptCount val="5"/>
                <c:pt idx="0">
                  <c:v>-865</c:v>
                </c:pt>
                <c:pt idx="1">
                  <c:v>-1005</c:v>
                </c:pt>
                <c:pt idx="2">
                  <c:v>-1085</c:v>
                </c:pt>
                <c:pt idx="3">
                  <c:v>-1035</c:v>
                </c:pt>
                <c:pt idx="4">
                  <c:v>-865</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-52</c:v>
                </c:pt>
                <c:pt idx="1">
                  <c:v>-162</c:v>
                </c:pt>
                <c:pt idx="2">
                  <c:v>-162</c:v>
                </c:pt>
                <c:pt idx="3">
                  <c:v>-52</c:v>
                </c:pt>
                <c:pt idx="4">
                  <c:v>-52</c:v>
                </c:pt>
              </c:numCache>
            </c:numRef>
          </c:xVal>
          <c:yVal>
            <c:numRef>
              <c:f>Stabilito!$C$158:$C$162</c:f>
              <c:numCache>
                <c:formatCode>0</c:formatCode>
                <c:ptCount val="5"/>
                <c:pt idx="0">
                  <c:v>-865</c:v>
                </c:pt>
                <c:pt idx="1">
                  <c:v>-1005</c:v>
                </c:pt>
                <c:pt idx="2">
                  <c:v>-1085</c:v>
                </c:pt>
                <c:pt idx="3">
                  <c:v>-1035</c:v>
                </c:pt>
                <c:pt idx="4">
                  <c:v>-865</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52</c:v>
                </c:pt>
                <c:pt idx="1">
                  <c:v>152</c:v>
                </c:pt>
                <c:pt idx="2">
                  <c:v>152</c:v>
                </c:pt>
                <c:pt idx="3">
                  <c:v>52</c:v>
                </c:pt>
                <c:pt idx="4">
                  <c:v>52</c:v>
                </c:pt>
              </c:numCache>
            </c:numRef>
          </c:xVal>
          <c:yVal>
            <c:numRef>
              <c:f>Stabilito!$C$163:$C$167</c:f>
              <c:numCache>
                <c:formatCode>0</c:formatCode>
                <c:ptCount val="5"/>
                <c:pt idx="0">
                  <c:v>-1732</c:v>
                </c:pt>
                <c:pt idx="1">
                  <c:v>-1832</c:v>
                </c:pt>
                <c:pt idx="2">
                  <c:v>-1968.1538461538462</c:v>
                </c:pt>
                <c:pt idx="3">
                  <c:v>-1922</c:v>
                </c:pt>
                <c:pt idx="4">
                  <c:v>-1732</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-52</c:v>
                </c:pt>
                <c:pt idx="1">
                  <c:v>-152</c:v>
                </c:pt>
                <c:pt idx="2">
                  <c:v>-152</c:v>
                </c:pt>
                <c:pt idx="3">
                  <c:v>-52</c:v>
                </c:pt>
                <c:pt idx="4">
                  <c:v>-52</c:v>
                </c:pt>
              </c:numCache>
            </c:numRef>
          </c:xVal>
          <c:yVal>
            <c:numRef>
              <c:f>Stabilito!$C$163:$C$167</c:f>
              <c:numCache>
                <c:formatCode>0</c:formatCode>
                <c:ptCount val="5"/>
                <c:pt idx="0">
                  <c:v>-1732</c:v>
                </c:pt>
                <c:pt idx="1">
                  <c:v>-1832</c:v>
                </c:pt>
                <c:pt idx="2">
                  <c:v>-1968.1538461538462</c:v>
                </c:pt>
                <c:pt idx="3">
                  <c:v>-1922</c:v>
                </c:pt>
                <c:pt idx="4">
                  <c:v>-1732</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664</c:v>
                </c:pt>
                <c:pt idx="1">
                  <c:v>-664</c:v>
                </c:pt>
              </c:numCache>
            </c:numRef>
          </c:xVal>
          <c:yVal>
            <c:numRef>
              <c:f>Stabilito!$C$168:$C$169</c:f>
              <c:numCache>
                <c:formatCode>0</c:formatCode>
                <c:ptCount val="2"/>
                <c:pt idx="0">
                  <c:v>-2011.92</c:v>
                </c:pt>
                <c:pt idx="1">
                  <c:v>-2011.92</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-27</c:v>
                </c:pt>
                <c:pt idx="1">
                  <c:v>27</c:v>
                </c:pt>
                <c:pt idx="2">
                  <c:v>27</c:v>
                </c:pt>
                <c:pt idx="3">
                  <c:v>-27</c:v>
                </c:pt>
                <c:pt idx="4">
                  <c:v>-27</c:v>
                </c:pt>
              </c:numCache>
            </c:numRef>
          </c:xVal>
          <c:yVal>
            <c:numRef>
              <c:f>Stabilito!$C$170:$C$174</c:f>
              <c:numCache>
                <c:formatCode>0</c:formatCode>
                <c:ptCount val="5"/>
                <c:pt idx="0">
                  <c:v>-1504</c:v>
                </c:pt>
                <c:pt idx="1">
                  <c:v>-1504</c:v>
                </c:pt>
                <c:pt idx="2">
                  <c:v>-1992</c:v>
                </c:pt>
                <c:pt idx="3">
                  <c:v>-1992</c:v>
                </c:pt>
                <c:pt idx="4">
                  <c:v>-1504</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-27.5</c:v>
                </c:pt>
                <c:pt idx="2">
                  <c:v>-68.75</c:v>
                </c:pt>
                <c:pt idx="3">
                  <c:v>-137.5</c:v>
                </c:pt>
                <c:pt idx="4">
                  <c:v>-206.25</c:v>
                </c:pt>
                <c:pt idx="5">
                  <c:v>-275</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-27.5</c:v>
                </c:pt>
                <c:pt idx="2">
                  <c:v>-68.75</c:v>
                </c:pt>
                <c:pt idx="3">
                  <c:v>-137.5</c:v>
                </c:pt>
                <c:pt idx="4">
                  <c:v>-206.25</c:v>
                </c:pt>
                <c:pt idx="5">
                  <c:v>-275</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-182</c:v>
                </c:pt>
                <c:pt idx="1">
                  <c:v>-117</c:v>
                </c:pt>
                <c:pt idx="2">
                  <c:v>-52</c:v>
                </c:pt>
              </c:numCache>
            </c:numRef>
          </c:xVal>
          <c:yVal>
            <c:numRef>
              <c:f>Stabilito!$C$137:$C$139</c:f>
              <c:numCache>
                <c:formatCode>0</c:formatCode>
                <c:ptCount val="3"/>
                <c:pt idx="0">
                  <c:v>-2048.4</c:v>
                </c:pt>
                <c:pt idx="1">
                  <c:v>-2048.4</c:v>
                </c:pt>
                <c:pt idx="2">
                  <c:v>-2048.4</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-248.4</c:v>
                </c:pt>
                <c:pt idx="1">
                  <c:v>-248.4</c:v>
                </c:pt>
                <c:pt idx="2">
                  <c:v>-248.4</c:v>
                </c:pt>
              </c:numCache>
            </c:numRef>
          </c:xVal>
          <c:yVal>
            <c:numRef>
              <c:f>Stabilito!$C$143:$C$145</c:f>
              <c:numCache>
                <c:formatCode>0</c:formatCode>
                <c:ptCount val="3"/>
                <c:pt idx="0">
                  <c:v>-1732</c:v>
                </c:pt>
                <c:pt idx="1">
                  <c:v>-1797</c:v>
                </c:pt>
                <c:pt idx="2">
                  <c:v>-1862</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-281.60000000000002</c:v>
                </c:pt>
                <c:pt idx="1">
                  <c:v>-281.60000000000002</c:v>
                </c:pt>
                <c:pt idx="2">
                  <c:v>-281.60000000000002</c:v>
                </c:pt>
              </c:numCache>
            </c:numRef>
          </c:xVal>
          <c:yVal>
            <c:numRef>
              <c:f>Stabilito!$C$146:$C$148</c:f>
              <c:numCache>
                <c:formatCode>0</c:formatCode>
                <c:ptCount val="3"/>
                <c:pt idx="0">
                  <c:v>-1862</c:v>
                </c:pt>
                <c:pt idx="1">
                  <c:v>-1922</c:v>
                </c:pt>
                <c:pt idx="2">
                  <c:v>-1982</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281.60000000000002</c:v>
                </c:pt>
                <c:pt idx="1">
                  <c:v>281.60000000000002</c:v>
                </c:pt>
                <c:pt idx="2">
                  <c:v>281.60000000000002</c:v>
                </c:pt>
              </c:numCache>
            </c:numRef>
          </c:xVal>
          <c:yVal>
            <c:numRef>
              <c:f>Stabilito!$C$140:$C$142</c:f>
              <c:numCache>
                <c:formatCode>0</c:formatCode>
                <c:ptCount val="3"/>
                <c:pt idx="0">
                  <c:v>-1732</c:v>
                </c:pt>
                <c:pt idx="1">
                  <c:v>-1827</c:v>
                </c:pt>
                <c:pt idx="2">
                  <c:v>-1922</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-281.60000000000002</c:v>
                </c:pt>
                <c:pt idx="1">
                  <c:v>-281.60000000000002</c:v>
                </c:pt>
                <c:pt idx="2">
                  <c:v>-281.60000000000002</c:v>
                </c:pt>
              </c:numCache>
            </c:numRef>
          </c:xVal>
          <c:yVal>
            <c:numRef>
              <c:f>Stabilito!$C$155:$C$157</c:f>
              <c:numCache>
                <c:formatCode>0</c:formatCode>
                <c:ptCount val="3"/>
                <c:pt idx="0">
                  <c:v>-1105.0352554420706</c:v>
                </c:pt>
                <c:pt idx="1">
                  <c:v>-1194.754273774824</c:v>
                </c:pt>
                <c:pt idx="2">
                  <c:v>-1284.4732921075772</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3.3395000000000001</c:v>
                </c:pt>
                <c:pt idx="2">
                  <c:v>5.0469999999999997</c:v>
                </c:pt>
                <c:pt idx="3">
                  <c:v>6.7545000000000002</c:v>
                </c:pt>
                <c:pt idx="4">
                  <c:v>8.4619999999999997</c:v>
                </c:pt>
                <c:pt idx="5">
                  <c:v>10.169499999999999</c:v>
                </c:pt>
                <c:pt idx="6">
                  <c:v>11.877000000000001</c:v>
                </c:pt>
                <c:pt idx="7">
                  <c:v>13.5845</c:v>
                </c:pt>
                <c:pt idx="8">
                  <c:v>15.292</c:v>
                </c:pt>
              </c:numCache>
            </c:numRef>
          </c:xVal>
          <c:yVal>
            <c:numRef>
              <c:f>Abaco!$K$43:$K$51</c:f>
              <c:numCache>
                <c:formatCode>General" m/s"</c:formatCode>
                <c:ptCount val="9"/>
                <c:pt idx="0">
                  <c:v>1059.1052405465541</c:v>
                </c:pt>
                <c:pt idx="1">
                  <c:v>615.7889262321703</c:v>
                </c:pt>
                <c:pt idx="2">
                  <c:v>404.22101204983159</c:v>
                </c:pt>
                <c:pt idx="3">
                  <c:v>295.57881976126885</c:v>
                </c:pt>
                <c:pt idx="4">
                  <c:v>230.78962352252088</c:v>
                </c:pt>
                <c:pt idx="5">
                  <c:v>188.02982230775356</c:v>
                </c:pt>
                <c:pt idx="6">
                  <c:v>157.77474105901828</c:v>
                </c:pt>
                <c:pt idx="7">
                  <c:v>135.26722836126777</c:v>
                </c:pt>
                <c:pt idx="8">
                  <c:v>117.88115112765662</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104 mm</c:v>
                </c:pt>
              </c:strCache>
            </c:strRef>
          </c:tx>
          <c:xVal>
            <c:numRef>
              <c:f>Abaco!$D$52:$D$60</c:f>
              <c:numCache>
                <c:formatCode>General\ "kg"</c:formatCode>
                <c:ptCount val="9"/>
                <c:pt idx="0">
                  <c:v>1.6319999999999999</c:v>
                </c:pt>
                <c:pt idx="1">
                  <c:v>3.3395000000000001</c:v>
                </c:pt>
                <c:pt idx="2">
                  <c:v>5.0469999999999997</c:v>
                </c:pt>
                <c:pt idx="3">
                  <c:v>6.7545000000000002</c:v>
                </c:pt>
                <c:pt idx="4">
                  <c:v>8.4619999999999997</c:v>
                </c:pt>
                <c:pt idx="5">
                  <c:v>10.169499999999999</c:v>
                </c:pt>
                <c:pt idx="6">
                  <c:v>11.877000000000001</c:v>
                </c:pt>
                <c:pt idx="7">
                  <c:v>13.5845</c:v>
                </c:pt>
                <c:pt idx="8">
                  <c:v>15.292</c:v>
                </c:pt>
              </c:numCache>
            </c:numRef>
          </c:xVal>
          <c:yVal>
            <c:numRef>
              <c:f>Abaco!$K$52:$K$60</c:f>
              <c:numCache>
                <c:formatCode>General" m/s"</c:formatCode>
                <c:ptCount val="9"/>
                <c:pt idx="0">
                  <c:v>606.53083624323062</c:v>
                </c:pt>
                <c:pt idx="1">
                  <c:v>491.61053941496345</c:v>
                </c:pt>
                <c:pt idx="2">
                  <c:v>364.13154243172613</c:v>
                </c:pt>
                <c:pt idx="3">
                  <c:v>278.9303191672422</c:v>
                </c:pt>
                <c:pt idx="4">
                  <c:v>222.57101482844826</c:v>
                </c:pt>
                <c:pt idx="5">
                  <c:v>183.46451096656776</c:v>
                </c:pt>
                <c:pt idx="6">
                  <c:v>155.01647219405271</c:v>
                </c:pt>
                <c:pt idx="7">
                  <c:v>133.49352838720228</c:v>
                </c:pt>
                <c:pt idx="8">
                  <c:v>116.68464970939974</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156 mm</c:v>
                </c:pt>
              </c:strCache>
            </c:strRef>
          </c:tx>
          <c:xVal>
            <c:numRef>
              <c:f>Abaco!$D$61:$D$69</c:f>
              <c:numCache>
                <c:formatCode>General\ "kg"</c:formatCode>
                <c:ptCount val="9"/>
                <c:pt idx="0">
                  <c:v>1.6319999999999999</c:v>
                </c:pt>
                <c:pt idx="1">
                  <c:v>3.3395000000000001</c:v>
                </c:pt>
                <c:pt idx="2">
                  <c:v>5.0469999999999997</c:v>
                </c:pt>
                <c:pt idx="3">
                  <c:v>6.7545000000000002</c:v>
                </c:pt>
                <c:pt idx="4">
                  <c:v>8.4619999999999997</c:v>
                </c:pt>
                <c:pt idx="5">
                  <c:v>10.169499999999999</c:v>
                </c:pt>
                <c:pt idx="6">
                  <c:v>11.877000000000001</c:v>
                </c:pt>
                <c:pt idx="7">
                  <c:v>13.5845</c:v>
                </c:pt>
                <c:pt idx="8">
                  <c:v>15.292</c:v>
                </c:pt>
              </c:numCache>
            </c:numRef>
          </c:xVal>
          <c:yVal>
            <c:numRef>
              <c:f>Abaco!$K$61:$K$69</c:f>
              <c:numCache>
                <c:formatCode>General" m/s"</c:formatCode>
                <c:ptCount val="9"/>
                <c:pt idx="0">
                  <c:v>406.95910944410974</c:v>
                </c:pt>
                <c:pt idx="1">
                  <c:v>377.78898479983297</c:v>
                </c:pt>
                <c:pt idx="2">
                  <c:v>313.92441982626013</c:v>
                </c:pt>
                <c:pt idx="3">
                  <c:v>255.11965245857976</c:v>
                </c:pt>
                <c:pt idx="4">
                  <c:v>210.02463605311161</c:v>
                </c:pt>
                <c:pt idx="5">
                  <c:v>176.23944349918349</c:v>
                </c:pt>
                <c:pt idx="6">
                  <c:v>150.55521699293746</c:v>
                </c:pt>
                <c:pt idx="7">
                  <c:v>130.58415018348606</c:v>
                </c:pt>
                <c:pt idx="8">
                  <c:v>114.70321343736241</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3.3395000000000001</c:v>
                </c:pt>
                <c:pt idx="2">
                  <c:v>5.0469999999999997</c:v>
                </c:pt>
                <c:pt idx="3">
                  <c:v>6.7545000000000002</c:v>
                </c:pt>
                <c:pt idx="4">
                  <c:v>8.4619999999999997</c:v>
                </c:pt>
                <c:pt idx="5">
                  <c:v>10.169499999999999</c:v>
                </c:pt>
                <c:pt idx="6">
                  <c:v>11.877000000000001</c:v>
                </c:pt>
                <c:pt idx="7">
                  <c:v>13.5845</c:v>
                </c:pt>
                <c:pt idx="8">
                  <c:v>15.292</c:v>
                </c:pt>
              </c:numCache>
            </c:numRef>
          </c:xVal>
          <c:yVal>
            <c:numRef>
              <c:f>Abaco!$L$43:$L$51</c:f>
              <c:numCache>
                <c:formatCode>General" m"</c:formatCode>
                <c:ptCount val="9"/>
                <c:pt idx="0">
                  <c:v>3061.3138476180256</c:v>
                </c:pt>
                <c:pt idx="1">
                  <c:v>4325.3606880994921</c:v>
                </c:pt>
                <c:pt idx="2">
                  <c:v>3955.4071880632027</c:v>
                </c:pt>
                <c:pt idx="3">
                  <c:v>3108.1403803500807</c:v>
                </c:pt>
                <c:pt idx="4">
                  <c:v>2316.3230082706414</c:v>
                </c:pt>
                <c:pt idx="5">
                  <c:v>1717.7203671466293</c:v>
                </c:pt>
                <c:pt idx="6">
                  <c:v>1293.1327366726155</c:v>
                </c:pt>
                <c:pt idx="7">
                  <c:v>994.17142938797701</c:v>
                </c:pt>
                <c:pt idx="8">
                  <c:v>780.68382223183562</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104 mm</c:v>
                </c:pt>
              </c:strCache>
            </c:strRef>
          </c:tx>
          <c:xVal>
            <c:numRef>
              <c:f>Abaco!$D$52:$D$60</c:f>
              <c:numCache>
                <c:formatCode>General\ "kg"</c:formatCode>
                <c:ptCount val="9"/>
                <c:pt idx="0">
                  <c:v>1.6319999999999999</c:v>
                </c:pt>
                <c:pt idx="1">
                  <c:v>3.3395000000000001</c:v>
                </c:pt>
                <c:pt idx="2">
                  <c:v>5.0469999999999997</c:v>
                </c:pt>
                <c:pt idx="3">
                  <c:v>6.7545000000000002</c:v>
                </c:pt>
                <c:pt idx="4">
                  <c:v>8.4619999999999997</c:v>
                </c:pt>
                <c:pt idx="5">
                  <c:v>10.169499999999999</c:v>
                </c:pt>
                <c:pt idx="6">
                  <c:v>11.877000000000001</c:v>
                </c:pt>
                <c:pt idx="7">
                  <c:v>13.5845</c:v>
                </c:pt>
                <c:pt idx="8">
                  <c:v>15.292</c:v>
                </c:pt>
              </c:numCache>
            </c:numRef>
          </c:xVal>
          <c:yVal>
            <c:numRef>
              <c:f>Abaco!$L$52:$L$60</c:f>
              <c:numCache>
                <c:formatCode>General" m"</c:formatCode>
                <c:ptCount val="9"/>
                <c:pt idx="0">
                  <c:v>1327.3172653379916</c:v>
                </c:pt>
                <c:pt idx="1">
                  <c:v>1816.1303285315666</c:v>
                </c:pt>
                <c:pt idx="2">
                  <c:v>1915.8826314806709</c:v>
                </c:pt>
                <c:pt idx="3">
                  <c:v>1786.671235778605</c:v>
                </c:pt>
                <c:pt idx="4">
                  <c:v>1552.2915098772878</c:v>
                </c:pt>
                <c:pt idx="5">
                  <c:v>1295.7873228404255</c:v>
                </c:pt>
                <c:pt idx="6">
                  <c:v>1061.2325846190358</c:v>
                </c:pt>
                <c:pt idx="7">
                  <c:v>864.46803262405138</c:v>
                </c:pt>
                <c:pt idx="8">
                  <c:v>706.09287374805865</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156 mm</c:v>
                </c:pt>
              </c:strCache>
            </c:strRef>
          </c:tx>
          <c:xVal>
            <c:numRef>
              <c:f>Abaco!$D$61:$D$69</c:f>
              <c:numCache>
                <c:formatCode>General\ "kg"</c:formatCode>
                <c:ptCount val="9"/>
                <c:pt idx="0">
                  <c:v>1.6319999999999999</c:v>
                </c:pt>
                <c:pt idx="1">
                  <c:v>3.3395000000000001</c:v>
                </c:pt>
                <c:pt idx="2">
                  <c:v>5.0469999999999997</c:v>
                </c:pt>
                <c:pt idx="3">
                  <c:v>6.7545000000000002</c:v>
                </c:pt>
                <c:pt idx="4">
                  <c:v>8.4619999999999997</c:v>
                </c:pt>
                <c:pt idx="5">
                  <c:v>10.169499999999999</c:v>
                </c:pt>
                <c:pt idx="6">
                  <c:v>11.877000000000001</c:v>
                </c:pt>
                <c:pt idx="7">
                  <c:v>13.5845</c:v>
                </c:pt>
                <c:pt idx="8">
                  <c:v>15.292</c:v>
                </c:pt>
              </c:numCache>
            </c:numRef>
          </c:xVal>
          <c:yVal>
            <c:numRef>
              <c:f>Abaco!$L$61:$L$69</c:f>
              <c:numCache>
                <c:formatCode>General" m"</c:formatCode>
                <c:ptCount val="9"/>
                <c:pt idx="0">
                  <c:v>820.6911852370938</c:v>
                </c:pt>
                <c:pt idx="1">
                  <c:v>1055.8403972256792</c:v>
                </c:pt>
                <c:pt idx="2">
                  <c:v>1149.252216551416</c:v>
                </c:pt>
                <c:pt idx="3">
                  <c:v>1141.7203840514735</c:v>
                </c:pt>
                <c:pt idx="4">
                  <c:v>1068.3874529280472</c:v>
                </c:pt>
                <c:pt idx="5">
                  <c:v>959.69008316795987</c:v>
                </c:pt>
                <c:pt idx="6">
                  <c:v>838.81556366295115</c:v>
                </c:pt>
                <c:pt idx="7">
                  <c:v>720.95483059950163</c:v>
                </c:pt>
                <c:pt idx="8">
                  <c:v>614.24610530061398</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3.3395000000000001</c:v>
                </c:pt>
                <c:pt idx="2">
                  <c:v>5.0469999999999997</c:v>
                </c:pt>
                <c:pt idx="3">
                  <c:v>6.7545000000000002</c:v>
                </c:pt>
                <c:pt idx="4">
                  <c:v>8.4619999999999997</c:v>
                </c:pt>
                <c:pt idx="5">
                  <c:v>10.169499999999999</c:v>
                </c:pt>
                <c:pt idx="6">
                  <c:v>11.877000000000001</c:v>
                </c:pt>
                <c:pt idx="7">
                  <c:v>13.5845</c:v>
                </c:pt>
                <c:pt idx="8">
                  <c:v>15.292</c:v>
                </c:pt>
              </c:numCache>
            </c:numRef>
          </c:xVal>
          <c:yVal>
            <c:numRef>
              <c:f>Abaco!$M$43:$M$51</c:f>
              <c:numCache>
                <c:formatCode>General" s"</c:formatCode>
                <c:ptCount val="9"/>
                <c:pt idx="0">
                  <c:v>14.909619717772436</c:v>
                </c:pt>
                <c:pt idx="1">
                  <c:v>23.799275788936356</c:v>
                </c:pt>
                <c:pt idx="2">
                  <c:v>25.593312973381835</c:v>
                </c:pt>
                <c:pt idx="3">
                  <c:v>24.18869906407312</c:v>
                </c:pt>
                <c:pt idx="4">
                  <c:v>21.668607011292366</c:v>
                </c:pt>
                <c:pt idx="5">
                  <c:v>19.097034317543876</c:v>
                </c:pt>
                <c:pt idx="6">
                  <c:v>16.840724714453202</c:v>
                </c:pt>
                <c:pt idx="7">
                  <c:v>14.955498133490078</c:v>
                </c:pt>
                <c:pt idx="8">
                  <c:v>13.39846646080044</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104 mm</c:v>
                </c:pt>
              </c:strCache>
            </c:strRef>
          </c:tx>
          <c:xVal>
            <c:numRef>
              <c:f>Abaco!$D$52:$D$60</c:f>
              <c:numCache>
                <c:formatCode>General\ "kg"</c:formatCode>
                <c:ptCount val="9"/>
                <c:pt idx="0">
                  <c:v>1.6319999999999999</c:v>
                </c:pt>
                <c:pt idx="1">
                  <c:v>3.3395000000000001</c:v>
                </c:pt>
                <c:pt idx="2">
                  <c:v>5.0469999999999997</c:v>
                </c:pt>
                <c:pt idx="3">
                  <c:v>6.7545000000000002</c:v>
                </c:pt>
                <c:pt idx="4">
                  <c:v>8.4619999999999997</c:v>
                </c:pt>
                <c:pt idx="5">
                  <c:v>10.169499999999999</c:v>
                </c:pt>
                <c:pt idx="6">
                  <c:v>11.877000000000001</c:v>
                </c:pt>
                <c:pt idx="7">
                  <c:v>13.5845</c:v>
                </c:pt>
                <c:pt idx="8">
                  <c:v>15.292</c:v>
                </c:pt>
              </c:numCache>
            </c:numRef>
          </c:xVal>
          <c:yVal>
            <c:numRef>
              <c:f>Abaco!$M$52:$M$60</c:f>
              <c:numCache>
                <c:formatCode>General" s"</c:formatCode>
                <c:ptCount val="9"/>
                <c:pt idx="0">
                  <c:v>8.5939636005069602</c:v>
                </c:pt>
                <c:pt idx="1">
                  <c:v>13.961069616022911</c:v>
                </c:pt>
                <c:pt idx="2">
                  <c:v>16.329783588808194</c:v>
                </c:pt>
                <c:pt idx="3">
                  <c:v>17.089733365894261</c:v>
                </c:pt>
                <c:pt idx="4">
                  <c:v>16.82199866435209</c:v>
                </c:pt>
                <c:pt idx="5">
                  <c:v>15.967281719194947</c:v>
                </c:pt>
                <c:pt idx="6">
                  <c:v>14.853215310717543</c:v>
                </c:pt>
                <c:pt idx="7">
                  <c:v>13.686139631832631</c:v>
                </c:pt>
                <c:pt idx="8">
                  <c:v>12.573815795629493</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156 mm</c:v>
                </c:pt>
              </c:strCache>
            </c:strRef>
          </c:tx>
          <c:xVal>
            <c:numRef>
              <c:f>Abaco!$D$61:$D$69</c:f>
              <c:numCache>
                <c:formatCode>General\ "kg"</c:formatCode>
                <c:ptCount val="9"/>
                <c:pt idx="0">
                  <c:v>1.6319999999999999</c:v>
                </c:pt>
                <c:pt idx="1">
                  <c:v>3.3395000000000001</c:v>
                </c:pt>
                <c:pt idx="2">
                  <c:v>5.0469999999999997</c:v>
                </c:pt>
                <c:pt idx="3">
                  <c:v>6.7545000000000002</c:v>
                </c:pt>
                <c:pt idx="4">
                  <c:v>8.4619999999999997</c:v>
                </c:pt>
                <c:pt idx="5">
                  <c:v>10.169499999999999</c:v>
                </c:pt>
                <c:pt idx="6">
                  <c:v>11.877000000000001</c:v>
                </c:pt>
                <c:pt idx="7">
                  <c:v>13.5845</c:v>
                </c:pt>
                <c:pt idx="8">
                  <c:v>15.292</c:v>
                </c:pt>
              </c:numCache>
            </c:numRef>
          </c:xVal>
          <c:yVal>
            <c:numRef>
              <c:f>Abaco!$M$61:$M$69</c:f>
              <c:numCache>
                <c:formatCode>General" s"</c:formatCode>
                <c:ptCount val="9"/>
                <c:pt idx="0">
                  <c:v>6.2974327332248148</c:v>
                </c:pt>
                <c:pt idx="1">
                  <c:v>10.006174943966496</c:v>
                </c:pt>
                <c:pt idx="2">
                  <c:v>11.955467149903587</c:v>
                </c:pt>
                <c:pt idx="3">
                  <c:v>12.979698024204632</c:v>
                </c:pt>
                <c:pt idx="4">
                  <c:v>13.347036043244366</c:v>
                </c:pt>
                <c:pt idx="5">
                  <c:v>13.241665302131123</c:v>
                </c:pt>
                <c:pt idx="6">
                  <c:v>12.82044514296267</c:v>
                </c:pt>
                <c:pt idx="7">
                  <c:v>12.214467142340453</c:v>
                </c:pt>
                <c:pt idx="8">
                  <c:v>11.522899380985567</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1.337069111928348</c:v>
                </c:pt>
                <c:pt idx="1">
                  <c:v>2.3026837966249243</c:v>
                </c:pt>
                <c:pt idx="2">
                  <c:v>3.0792770471048923</c:v>
                </c:pt>
                <c:pt idx="3">
                  <c:v>2.1136623624083155</c:v>
                </c:pt>
              </c:numCache>
            </c:numRef>
          </c:xVal>
          <c:yVal>
            <c:numRef>
              <c:f>Stabilito!$C$190:$C$193</c:f>
              <c:numCache>
                <c:formatCode>0.00</c:formatCode>
                <c:ptCount val="4"/>
                <c:pt idx="0">
                  <c:v>19.083886010697782</c:v>
                </c:pt>
                <c:pt idx="1">
                  <c:v>23.484618678186067</c:v>
                </c:pt>
                <c:pt idx="2">
                  <c:v>23.484618678186067</c:v>
                </c:pt>
                <c:pt idx="3">
                  <c:v>19.083886010697782</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2.1136623624083155</c:v>
                </c:pt>
                <c:pt idx="1">
                  <c:v>1.337069111928348</c:v>
                </c:pt>
              </c:numCache>
            </c:numRef>
          </c:xVal>
          <c:yVal>
            <c:numRef>
              <c:f>Stabilito!$C$193:$C$194</c:f>
              <c:numCache>
                <c:formatCode>0.00</c:formatCode>
                <c:ptCount val="2"/>
                <c:pt idx="0">
                  <c:v>19.083886010697782</c:v>
                </c:pt>
                <c:pt idx="1">
                  <c:v>19.083886010697782</c:v>
                </c:pt>
              </c:numCache>
            </c:numRef>
          </c:yVal>
          <c:smooth val="0"/>
          <c:extLst>
            <c:ext xmlns:c16="http://schemas.microsoft.com/office/drawing/2014/chart" uri="{C3380CC4-5D6E-409C-BE32-E72D297353CC}">
              <c16:uniqueId val="{0000000B-DD97-4068-951F-4990D529CDCA}"/>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1396.1084776157461</c:v>
                </c:pt>
              </c:numCache>
            </c:numRef>
          </c:xVal>
          <c:yVal>
            <c:numRef>
              <c:f>Trajecto!$C$121</c:f>
              <c:numCache>
                <c:formatCode>0</c:formatCode>
                <c:ptCount val="1"/>
                <c:pt idx="0">
                  <c:v>1396.1084776157461</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13.293991145157582</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51.768596241708345</c:v>
                </c:pt>
                <c:pt idx="201">
                  <c:v>#N/A</c:v>
                </c:pt>
                <c:pt idx="202">
                  <c:v>#N/A</c:v>
                </c:pt>
                <c:pt idx="203">
                  <c:v>#N/A</c:v>
                </c:pt>
                <c:pt idx="204">
                  <c:v>#N/A</c:v>
                </c:pt>
                <c:pt idx="205">
                  <c:v>#N/A</c:v>
                </c:pt>
                <c:pt idx="206">
                  <c:v>#N/A</c:v>
                </c:pt>
                <c:pt idx="207">
                  <c:v>#N/A</c:v>
                </c:pt>
                <c:pt idx="208">
                  <c:v>#N/A</c:v>
                </c:pt>
                <c:pt idx="209">
                  <c:v>#N/A</c:v>
                </c:pt>
                <c:pt idx="210">
                  <c:v>91.500932431059795</c:v>
                </c:pt>
                <c:pt idx="211">
                  <c:v>#N/A</c:v>
                </c:pt>
                <c:pt idx="212">
                  <c:v>#N/A</c:v>
                </c:pt>
                <c:pt idx="213">
                  <c:v>#N/A</c:v>
                </c:pt>
                <c:pt idx="214">
                  <c:v>#N/A</c:v>
                </c:pt>
                <c:pt idx="215">
                  <c:v>#N/A</c:v>
                </c:pt>
                <c:pt idx="216">
                  <c:v>#N/A</c:v>
                </c:pt>
                <c:pt idx="217">
                  <c:v>#N/A</c:v>
                </c:pt>
                <c:pt idx="218">
                  <c:v>#N/A</c:v>
                </c:pt>
                <c:pt idx="219">
                  <c:v>#N/A</c:v>
                </c:pt>
                <c:pt idx="220">
                  <c:v>127.78084740446224</c:v>
                </c:pt>
                <c:pt idx="221">
                  <c:v>#N/A</c:v>
                </c:pt>
                <c:pt idx="222">
                  <c:v>#N/A</c:v>
                </c:pt>
                <c:pt idx="223">
                  <c:v>#N/A</c:v>
                </c:pt>
                <c:pt idx="224">
                  <c:v>#N/A</c:v>
                </c:pt>
                <c:pt idx="225">
                  <c:v>#N/A</c:v>
                </c:pt>
                <c:pt idx="226">
                  <c:v>#N/A</c:v>
                </c:pt>
                <c:pt idx="227">
                  <c:v>#N/A</c:v>
                </c:pt>
                <c:pt idx="228">
                  <c:v>#N/A</c:v>
                </c:pt>
                <c:pt idx="229">
                  <c:v>#N/A</c:v>
                </c:pt>
                <c:pt idx="230">
                  <c:v>161.35474945341693</c:v>
                </c:pt>
                <c:pt idx="231">
                  <c:v>#N/A</c:v>
                </c:pt>
                <c:pt idx="232">
                  <c:v>#N/A</c:v>
                </c:pt>
                <c:pt idx="233">
                  <c:v>#N/A</c:v>
                </c:pt>
                <c:pt idx="234">
                  <c:v>#N/A</c:v>
                </c:pt>
                <c:pt idx="235">
                  <c:v>#N/A</c:v>
                </c:pt>
                <c:pt idx="236">
                  <c:v>#N/A</c:v>
                </c:pt>
                <c:pt idx="237">
                  <c:v>#N/A</c:v>
                </c:pt>
                <c:pt idx="238">
                  <c:v>#N/A</c:v>
                </c:pt>
                <c:pt idx="239">
                  <c:v>#N/A</c:v>
                </c:pt>
                <c:pt idx="240">
                  <c:v>192.767779094921</c:v>
                </c:pt>
                <c:pt idx="241">
                  <c:v>#N/A</c:v>
                </c:pt>
                <c:pt idx="242">
                  <c:v>#N/A</c:v>
                </c:pt>
                <c:pt idx="243">
                  <c:v>#N/A</c:v>
                </c:pt>
                <c:pt idx="244">
                  <c:v>#N/A</c:v>
                </c:pt>
                <c:pt idx="245">
                  <c:v>#N/A</c:v>
                </c:pt>
                <c:pt idx="246">
                  <c:v>#N/A</c:v>
                </c:pt>
                <c:pt idx="247">
                  <c:v>#N/A</c:v>
                </c:pt>
                <c:pt idx="248">
                  <c:v>#N/A</c:v>
                </c:pt>
                <c:pt idx="249">
                  <c:v>#N/A</c:v>
                </c:pt>
                <c:pt idx="250">
                  <c:v>222.43241664787175</c:v>
                </c:pt>
                <c:pt idx="251">
                  <c:v>#N/A</c:v>
                </c:pt>
                <c:pt idx="252">
                  <c:v>#N/A</c:v>
                </c:pt>
                <c:pt idx="253">
                  <c:v>#N/A</c:v>
                </c:pt>
                <c:pt idx="254">
                  <c:v>#N/A</c:v>
                </c:pt>
                <c:pt idx="255">
                  <c:v>#N/A</c:v>
                </c:pt>
                <c:pt idx="256">
                  <c:v>#N/A</c:v>
                </c:pt>
                <c:pt idx="257">
                  <c:v>#N/A</c:v>
                </c:pt>
                <c:pt idx="258">
                  <c:v>#N/A</c:v>
                </c:pt>
                <c:pt idx="259">
                  <c:v>#N/A</c:v>
                </c:pt>
                <c:pt idx="260">
                  <c:v>250.67016622940301</c:v>
                </c:pt>
                <c:pt idx="261">
                  <c:v>#N/A</c:v>
                </c:pt>
                <c:pt idx="262">
                  <c:v>#N/A</c:v>
                </c:pt>
                <c:pt idx="263">
                  <c:v>#N/A</c:v>
                </c:pt>
                <c:pt idx="264">
                  <c:v>#N/A</c:v>
                </c:pt>
                <c:pt idx="265">
                  <c:v>#N/A</c:v>
                </c:pt>
                <c:pt idx="266">
                  <c:v>#N/A</c:v>
                </c:pt>
                <c:pt idx="267">
                  <c:v>#N/A</c:v>
                </c:pt>
                <c:pt idx="268">
                  <c:v>#N/A</c:v>
                </c:pt>
                <c:pt idx="269">
                  <c:v>#N/A</c:v>
                </c:pt>
                <c:pt idx="270">
                  <c:v>277.7380938071737</c:v>
                </c:pt>
                <c:pt idx="271">
                  <c:v>#N/A</c:v>
                </c:pt>
                <c:pt idx="272">
                  <c:v>#N/A</c:v>
                </c:pt>
                <c:pt idx="273">
                  <c:v>#N/A</c:v>
                </c:pt>
                <c:pt idx="274">
                  <c:v>#N/A</c:v>
                </c:pt>
                <c:pt idx="275">
                  <c:v>#N/A</c:v>
                </c:pt>
                <c:pt idx="276">
                  <c:v>#N/A</c:v>
                </c:pt>
                <c:pt idx="277">
                  <c:v>#N/A</c:v>
                </c:pt>
                <c:pt idx="278">
                  <c:v>#N/A</c:v>
                </c:pt>
                <c:pt idx="279">
                  <c:v>#N/A</c:v>
                </c:pt>
                <c:pt idx="280">
                  <c:v>303.84634280291232</c:v>
                </c:pt>
                <c:pt idx="281">
                  <c:v>#N/A</c:v>
                </c:pt>
                <c:pt idx="282">
                  <c:v>#N/A</c:v>
                </c:pt>
                <c:pt idx="283">
                  <c:v>#N/A</c:v>
                </c:pt>
                <c:pt idx="284">
                  <c:v>#N/A</c:v>
                </c:pt>
                <c:pt idx="285">
                  <c:v>#N/A</c:v>
                </c:pt>
                <c:pt idx="286">
                  <c:v>#N/A</c:v>
                </c:pt>
                <c:pt idx="287">
                  <c:v>#N/A</c:v>
                </c:pt>
                <c:pt idx="288">
                  <c:v>#N/A</c:v>
                </c:pt>
                <c:pt idx="289">
                  <c:v>#N/A</c:v>
                </c:pt>
                <c:pt idx="290">
                  <c:v>329.16996681419602</c:v>
                </c:pt>
                <c:pt idx="291">
                  <c:v>#N/A</c:v>
                </c:pt>
                <c:pt idx="292">
                  <c:v>#N/A</c:v>
                </c:pt>
                <c:pt idx="293">
                  <c:v>#N/A</c:v>
                </c:pt>
                <c:pt idx="294">
                  <c:v>#N/A</c:v>
                </c:pt>
                <c:pt idx="295">
                  <c:v>#N/A</c:v>
                </c:pt>
                <c:pt idx="296">
                  <c:v>#N/A</c:v>
                </c:pt>
                <c:pt idx="297">
                  <c:v>#N/A</c:v>
                </c:pt>
                <c:pt idx="298">
                  <c:v>#N/A</c:v>
                </c:pt>
                <c:pt idx="299">
                  <c:v>#N/A</c:v>
                </c:pt>
                <c:pt idx="300">
                  <c:v>353.85691813957249</c:v>
                </c:pt>
                <c:pt idx="301">
                  <c:v>#N/A</c:v>
                </c:pt>
                <c:pt idx="302">
                  <c:v>#N/A</c:v>
                </c:pt>
                <c:pt idx="303">
                  <c:v>#N/A</c:v>
                </c:pt>
                <c:pt idx="304">
                  <c:v>#N/A</c:v>
                </c:pt>
                <c:pt idx="305">
                  <c:v>#N/A</c:v>
                </c:pt>
                <c:pt idx="306">
                  <c:v>#N/A</c:v>
                </c:pt>
                <c:pt idx="307">
                  <c:v>#N/A</c:v>
                </c:pt>
                <c:pt idx="308">
                  <c:v>#N/A</c:v>
                </c:pt>
                <c:pt idx="309">
                  <c:v>#N/A</c:v>
                </c:pt>
                <c:pt idx="310">
                  <c:v>378.03308900903301</c:v>
                </c:pt>
                <c:pt idx="311">
                  <c:v>#N/A</c:v>
                </c:pt>
                <c:pt idx="312">
                  <c:v>#N/A</c:v>
                </c:pt>
                <c:pt idx="313">
                  <c:v>#N/A</c:v>
                </c:pt>
                <c:pt idx="314">
                  <c:v>#N/A</c:v>
                </c:pt>
                <c:pt idx="315">
                  <c:v>#N/A</c:v>
                </c:pt>
                <c:pt idx="316">
                  <c:v>#N/A</c:v>
                </c:pt>
                <c:pt idx="317">
                  <c:v>#N/A</c:v>
                </c:pt>
                <c:pt idx="318">
                  <c:v>#N/A</c:v>
                </c:pt>
                <c:pt idx="319">
                  <c:v>#N/A</c:v>
                </c:pt>
                <c:pt idx="320">
                  <c:v>401.80450036298294</c:v>
                </c:pt>
                <c:pt idx="321">
                  <c:v>#N/A</c:v>
                </c:pt>
                <c:pt idx="322">
                  <c:v>#N/A</c:v>
                </c:pt>
                <c:pt idx="323">
                  <c:v>#N/A</c:v>
                </c:pt>
                <c:pt idx="324">
                  <c:v>#N/A</c:v>
                </c:pt>
                <c:pt idx="325">
                  <c:v>#N/A</c:v>
                </c:pt>
                <c:pt idx="326">
                  <c:v>#N/A</c:v>
                </c:pt>
                <c:pt idx="327">
                  <c:v>#N/A</c:v>
                </c:pt>
                <c:pt idx="328">
                  <c:v>#N/A</c:v>
                </c:pt>
                <c:pt idx="329">
                  <c:v>#N/A</c:v>
                </c:pt>
                <c:pt idx="330">
                  <c:v>425.25578383587276</c:v>
                </c:pt>
                <c:pt idx="331">
                  <c:v>#N/A</c:v>
                </c:pt>
                <c:pt idx="332">
                  <c:v>#N/A</c:v>
                </c:pt>
                <c:pt idx="333">
                  <c:v>#N/A</c:v>
                </c:pt>
                <c:pt idx="334">
                  <c:v>#N/A</c:v>
                </c:pt>
                <c:pt idx="335">
                  <c:v>#N/A</c:v>
                </c:pt>
                <c:pt idx="336">
                  <c:v>#N/A</c:v>
                </c:pt>
                <c:pt idx="337">
                  <c:v>#N/A</c:v>
                </c:pt>
                <c:pt idx="338">
                  <c:v>#N/A</c:v>
                </c:pt>
                <c:pt idx="339">
                  <c:v>#N/A</c:v>
                </c:pt>
                <c:pt idx="340">
                  <c:v>448.44350975232692</c:v>
                </c:pt>
                <c:pt idx="341">
                  <c:v>#N/A</c:v>
                </c:pt>
                <c:pt idx="342">
                  <c:v>#N/A</c:v>
                </c:pt>
                <c:pt idx="343">
                  <c:v>#N/A</c:v>
                </c:pt>
                <c:pt idx="344">
                  <c:v>#N/A</c:v>
                </c:pt>
                <c:pt idx="345">
                  <c:v>#N/A</c:v>
                </c:pt>
                <c:pt idx="346">
                  <c:v>#N/A</c:v>
                </c:pt>
                <c:pt idx="347">
                  <c:v>#N/A</c:v>
                </c:pt>
                <c:pt idx="348">
                  <c:v>#N/A</c:v>
                </c:pt>
                <c:pt idx="349">
                  <c:v>#N/A</c:v>
                </c:pt>
                <c:pt idx="350">
                  <c:v>471.38639292102164</c:v>
                </c:pt>
                <c:pt idx="351">
                  <c:v>#N/A</c:v>
                </c:pt>
                <c:pt idx="352">
                  <c:v>#N/A</c:v>
                </c:pt>
                <c:pt idx="353">
                  <c:v>#N/A</c:v>
                </c:pt>
                <c:pt idx="354">
                  <c:v>#N/A</c:v>
                </c:pt>
                <c:pt idx="355">
                  <c:v>#N/A</c:v>
                </c:pt>
                <c:pt idx="356">
                  <c:v>#N/A</c:v>
                </c:pt>
                <c:pt idx="357">
                  <c:v>#N/A</c:v>
                </c:pt>
                <c:pt idx="358">
                  <c:v>#N/A</c:v>
                </c:pt>
                <c:pt idx="359">
                  <c:v>#N/A</c:v>
                </c:pt>
                <c:pt idx="360">
                  <c:v>494.06309284239001</c:v>
                </c:pt>
                <c:pt idx="361">
                  <c:v>#N/A</c:v>
                </c:pt>
                <c:pt idx="362">
                  <c:v>#N/A</c:v>
                </c:pt>
                <c:pt idx="363">
                  <c:v>#N/A</c:v>
                </c:pt>
                <c:pt idx="364">
                  <c:v>#N/A</c:v>
                </c:pt>
                <c:pt idx="365">
                  <c:v>#N/A</c:v>
                </c:pt>
                <c:pt idx="366">
                  <c:v>#N/A</c:v>
                </c:pt>
                <c:pt idx="367">
                  <c:v>#N/A</c:v>
                </c:pt>
                <c:pt idx="368">
                  <c:v>#N/A</c:v>
                </c:pt>
                <c:pt idx="369">
                  <c:v>#N/A</c:v>
                </c:pt>
                <c:pt idx="370">
                  <c:v>516.42348695129431</c:v>
                </c:pt>
                <c:pt idx="371">
                  <c:v>#N/A</c:v>
                </c:pt>
                <c:pt idx="372">
                  <c:v>#N/A</c:v>
                </c:pt>
                <c:pt idx="373">
                  <c:v>#N/A</c:v>
                </c:pt>
                <c:pt idx="374">
                  <c:v>#N/A</c:v>
                </c:pt>
                <c:pt idx="375">
                  <c:v>#N/A</c:v>
                </c:pt>
                <c:pt idx="376">
                  <c:v>#N/A</c:v>
                </c:pt>
                <c:pt idx="377">
                  <c:v>#N/A</c:v>
                </c:pt>
                <c:pt idx="378">
                  <c:v>#N/A</c:v>
                </c:pt>
                <c:pt idx="379">
                  <c:v>#N/A</c:v>
                </c:pt>
                <c:pt idx="380">
                  <c:v>538.40324957554799</c:v>
                </c:pt>
                <c:pt idx="381">
                  <c:v>#N/A</c:v>
                </c:pt>
                <c:pt idx="382">
                  <c:v>#N/A</c:v>
                </c:pt>
                <c:pt idx="383">
                  <c:v>#N/A</c:v>
                </c:pt>
                <c:pt idx="384">
                  <c:v>#N/A</c:v>
                </c:pt>
                <c:pt idx="385">
                  <c:v>#N/A</c:v>
                </c:pt>
                <c:pt idx="386">
                  <c:v>#N/A</c:v>
                </c:pt>
                <c:pt idx="387">
                  <c:v>#N/A</c:v>
                </c:pt>
                <c:pt idx="388">
                  <c:v>#N/A</c:v>
                </c:pt>
                <c:pt idx="389">
                  <c:v>#N/A</c:v>
                </c:pt>
                <c:pt idx="390">
                  <c:v>559.93383460825316</c:v>
                </c:pt>
                <c:pt idx="391">
                  <c:v>#N/A</c:v>
                </c:pt>
                <c:pt idx="392">
                  <c:v>#N/A</c:v>
                </c:pt>
                <c:pt idx="393">
                  <c:v>#N/A</c:v>
                </c:pt>
                <c:pt idx="394">
                  <c:v>#N/A</c:v>
                </c:pt>
                <c:pt idx="395">
                  <c:v>#N/A</c:v>
                </c:pt>
                <c:pt idx="396">
                  <c:v>#N/A</c:v>
                </c:pt>
                <c:pt idx="397">
                  <c:v>#N/A</c:v>
                </c:pt>
                <c:pt idx="398">
                  <c:v>#N/A</c:v>
                </c:pt>
                <c:pt idx="399">
                  <c:v>#N/A</c:v>
                </c:pt>
                <c:pt idx="400">
                  <c:v>580.9481712214972</c:v>
                </c:pt>
                <c:pt idx="401">
                  <c:v>#N/A</c:v>
                </c:pt>
                <c:pt idx="402">
                  <c:v>#N/A</c:v>
                </c:pt>
                <c:pt idx="403">
                  <c:v>#N/A</c:v>
                </c:pt>
                <c:pt idx="404">
                  <c:v>#N/A</c:v>
                </c:pt>
                <c:pt idx="405">
                  <c:v>#N/A</c:v>
                </c:pt>
                <c:pt idx="406">
                  <c:v>#N/A</c:v>
                </c:pt>
                <c:pt idx="407">
                  <c:v>#N/A</c:v>
                </c:pt>
                <c:pt idx="408">
                  <c:v>#N/A</c:v>
                </c:pt>
                <c:pt idx="409">
                  <c:v>#N/A</c:v>
                </c:pt>
                <c:pt idx="410">
                  <c:v>601.38394155703077</c:v>
                </c:pt>
                <c:pt idx="411">
                  <c:v>#N/A</c:v>
                </c:pt>
                <c:pt idx="412">
                  <c:v>#N/A</c:v>
                </c:pt>
                <c:pt idx="413">
                  <c:v>#N/A</c:v>
                </c:pt>
                <c:pt idx="414">
                  <c:v>#N/A</c:v>
                </c:pt>
                <c:pt idx="415">
                  <c:v>#N/A</c:v>
                </c:pt>
                <c:pt idx="416">
                  <c:v>#N/A</c:v>
                </c:pt>
                <c:pt idx="417">
                  <c:v>#N/A</c:v>
                </c:pt>
                <c:pt idx="418">
                  <c:v>#N/A</c:v>
                </c:pt>
                <c:pt idx="419">
                  <c:v>#N/A</c:v>
                </c:pt>
                <c:pt idx="420">
                  <c:v>621.18554007579837</c:v>
                </c:pt>
                <c:pt idx="421">
                  <c:v>#N/A</c:v>
                </c:pt>
                <c:pt idx="422">
                  <c:v>#N/A</c:v>
                </c:pt>
                <c:pt idx="423">
                  <c:v>#N/A</c:v>
                </c:pt>
                <c:pt idx="424">
                  <c:v>#N/A</c:v>
                </c:pt>
                <c:pt idx="425">
                  <c:v>#N/A</c:v>
                </c:pt>
                <c:pt idx="426">
                  <c:v>#N/A</c:v>
                </c:pt>
                <c:pt idx="427">
                  <c:v>#N/A</c:v>
                </c:pt>
                <c:pt idx="428">
                  <c:v>#N/A</c:v>
                </c:pt>
                <c:pt idx="429">
                  <c:v>#N/A</c:v>
                </c:pt>
                <c:pt idx="430">
                  <c:v>640.30523274893949</c:v>
                </c:pt>
                <c:pt idx="431">
                  <c:v>#N/A</c:v>
                </c:pt>
                <c:pt idx="432">
                  <c:v>#N/A</c:v>
                </c:pt>
                <c:pt idx="433">
                  <c:v>#N/A</c:v>
                </c:pt>
                <c:pt idx="434">
                  <c:v>#N/A</c:v>
                </c:pt>
                <c:pt idx="435">
                  <c:v>#N/A</c:v>
                </c:pt>
                <c:pt idx="436">
                  <c:v>#N/A</c:v>
                </c:pt>
                <c:pt idx="437">
                  <c:v>#N/A</c:v>
                </c:pt>
                <c:pt idx="438">
                  <c:v>#N/A</c:v>
                </c:pt>
                <c:pt idx="439">
                  <c:v>#N/A</c:v>
                </c:pt>
                <c:pt idx="440">
                  <c:v>658.70376773650275</c:v>
                </c:pt>
                <c:pt idx="441">
                  <c:v>#N/A</c:v>
                </c:pt>
                <c:pt idx="442">
                  <c:v>#N/A</c:v>
                </c:pt>
                <c:pt idx="443">
                  <c:v>#N/A</c:v>
                </c:pt>
                <c:pt idx="444">
                  <c:v>#N/A</c:v>
                </c:pt>
                <c:pt idx="445">
                  <c:v>#N/A</c:v>
                </c:pt>
                <c:pt idx="446">
                  <c:v>#N/A</c:v>
                </c:pt>
                <c:pt idx="447">
                  <c:v>#N/A</c:v>
                </c:pt>
                <c:pt idx="448">
                  <c:v>#N/A</c:v>
                </c:pt>
                <c:pt idx="449">
                  <c:v>#N/A</c:v>
                </c:pt>
                <c:pt idx="450">
                  <c:v>676.35057717440782</c:v>
                </c:pt>
                <c:pt idx="451">
                  <c:v>#N/A</c:v>
                </c:pt>
                <c:pt idx="452">
                  <c:v>#N/A</c:v>
                </c:pt>
                <c:pt idx="453">
                  <c:v>#N/A</c:v>
                </c:pt>
                <c:pt idx="454">
                  <c:v>#N/A</c:v>
                </c:pt>
                <c:pt idx="455">
                  <c:v>#N/A</c:v>
                </c:pt>
                <c:pt idx="456">
                  <c:v>#N/A</c:v>
                </c:pt>
                <c:pt idx="457">
                  <c:v>#N/A</c:v>
                </c:pt>
                <c:pt idx="458">
                  <c:v>#N/A</c:v>
                </c:pt>
                <c:pt idx="459">
                  <c:v>#N/A</c:v>
                </c:pt>
                <c:pt idx="460">
                  <c:v>693.22366254041515</c:v>
                </c:pt>
                <c:pt idx="461">
                  <c:v>#N/A</c:v>
                </c:pt>
                <c:pt idx="462">
                  <c:v>#N/A</c:v>
                </c:pt>
                <c:pt idx="463">
                  <c:v>#N/A</c:v>
                </c:pt>
                <c:pt idx="464">
                  <c:v>#N/A</c:v>
                </c:pt>
                <c:pt idx="465">
                  <c:v>#N/A</c:v>
                </c:pt>
                <c:pt idx="466">
                  <c:v>#N/A</c:v>
                </c:pt>
                <c:pt idx="467">
                  <c:v>#N/A</c:v>
                </c:pt>
                <c:pt idx="468">
                  <c:v>#N/A</c:v>
                </c:pt>
                <c:pt idx="469">
                  <c:v>#N/A</c:v>
                </c:pt>
                <c:pt idx="470">
                  <c:v>709.3092352132312</c:v>
                </c:pt>
                <c:pt idx="471">
                  <c:v>#N/A</c:v>
                </c:pt>
                <c:pt idx="472">
                  <c:v>#N/A</c:v>
                </c:pt>
                <c:pt idx="473">
                  <c:v>#N/A</c:v>
                </c:pt>
                <c:pt idx="474">
                  <c:v>#N/A</c:v>
                </c:pt>
                <c:pt idx="475">
                  <c:v>#N/A</c:v>
                </c:pt>
                <c:pt idx="476">
                  <c:v>#N/A</c:v>
                </c:pt>
                <c:pt idx="477">
                  <c:v>#N/A</c:v>
                </c:pt>
                <c:pt idx="478">
                  <c:v>#N/A</c:v>
                </c:pt>
                <c:pt idx="479">
                  <c:v>#N/A</c:v>
                </c:pt>
                <c:pt idx="480">
                  <c:v>724.60117316684796</c:v>
                </c:pt>
                <c:pt idx="481">
                  <c:v>#N/A</c:v>
                </c:pt>
                <c:pt idx="482">
                  <c:v>#N/A</c:v>
                </c:pt>
                <c:pt idx="483">
                  <c:v>#N/A</c:v>
                </c:pt>
                <c:pt idx="484">
                  <c:v>#N/A</c:v>
                </c:pt>
                <c:pt idx="485">
                  <c:v>#N/A</c:v>
                </c:pt>
                <c:pt idx="486">
                  <c:v>#N/A</c:v>
                </c:pt>
                <c:pt idx="487">
                  <c:v>#N/A</c:v>
                </c:pt>
                <c:pt idx="488">
                  <c:v>#N/A</c:v>
                </c:pt>
                <c:pt idx="489">
                  <c:v>#N/A</c:v>
                </c:pt>
                <c:pt idx="490">
                  <c:v>739.10034753450816</c:v>
                </c:pt>
                <c:pt idx="491">
                  <c:v>#N/A</c:v>
                </c:pt>
                <c:pt idx="492">
                  <c:v>#N/A</c:v>
                </c:pt>
                <c:pt idx="493">
                  <c:v>#N/A</c:v>
                </c:pt>
                <c:pt idx="494">
                  <c:v>#N/A</c:v>
                </c:pt>
                <c:pt idx="495">
                  <c:v>#N/A</c:v>
                </c:pt>
                <c:pt idx="496">
                  <c:v>#N/A</c:v>
                </c:pt>
                <c:pt idx="497">
                  <c:v>#N/A</c:v>
                </c:pt>
                <c:pt idx="498">
                  <c:v>#N/A</c:v>
                </c:pt>
                <c:pt idx="499">
                  <c:v>#N/A</c:v>
                </c:pt>
                <c:pt idx="500">
                  <c:v>752.81386634516195</c:v>
                </c:pt>
                <c:pt idx="501">
                  <c:v>#N/A</c:v>
                </c:pt>
                <c:pt idx="502">
                  <c:v>#N/A</c:v>
                </c:pt>
                <c:pt idx="503">
                  <c:v>#N/A</c:v>
                </c:pt>
                <c:pt idx="504">
                  <c:v>#N/A</c:v>
                </c:pt>
                <c:pt idx="505">
                  <c:v>#N/A</c:v>
                </c:pt>
                <c:pt idx="506">
                  <c:v>#N/A</c:v>
                </c:pt>
                <c:pt idx="507">
                  <c:v>#N/A</c:v>
                </c:pt>
                <c:pt idx="508">
                  <c:v>#N/A</c:v>
                </c:pt>
                <c:pt idx="509">
                  <c:v>#N/A</c:v>
                </c:pt>
                <c:pt idx="510">
                  <c:v>765.75427618137633</c:v>
                </c:pt>
                <c:pt idx="511">
                  <c:v>#N/A</c:v>
                </c:pt>
                <c:pt idx="512">
                  <c:v>#N/A</c:v>
                </c:pt>
                <c:pt idx="513">
                  <c:v>#N/A</c:v>
                </c:pt>
                <c:pt idx="514">
                  <c:v>#N/A</c:v>
                </c:pt>
                <c:pt idx="515">
                  <c:v>#N/A</c:v>
                </c:pt>
                <c:pt idx="516">
                  <c:v>#N/A</c:v>
                </c:pt>
                <c:pt idx="517">
                  <c:v>#N/A</c:v>
                </c:pt>
                <c:pt idx="518">
                  <c:v>#N/A</c:v>
                </c:pt>
                <c:pt idx="519">
                  <c:v>#N/A</c:v>
                </c:pt>
                <c:pt idx="520">
                  <c:v>777.93875572392039</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9.5669889931573524E-4</c:v>
                </c:pt>
                <c:pt idx="2">
                  <c:v>7.8147455232856784E-3</c:v>
                </c:pt>
                <c:pt idx="3">
                  <c:v>2.6992684424835094E-2</c:v>
                </c:pt>
                <c:pt idx="4">
                  <c:v>6.0667505481540311E-2</c:v>
                </c:pt>
                <c:pt idx="5">
                  <c:v>0.10833133201655158</c:v>
                </c:pt>
                <c:pt idx="6">
                  <c:v>0.16963037567637684</c:v>
                </c:pt>
                <c:pt idx="7">
                  <c:v>0.24452081130294206</c:v>
                </c:pt>
                <c:pt idx="8">
                  <c:v>0.33311404982606618</c:v>
                </c:pt>
                <c:pt idx="9">
                  <c:v>0.43552155773738688</c:v>
                </c:pt>
                <c:pt idx="10">
                  <c:v>0.55185485461711581</c:v>
                </c:pt>
                <c:pt idx="11">
                  <c:v>0.68220937776239388</c:v>
                </c:pt>
                <c:pt idx="12">
                  <c:v>0.82664829999510614</c:v>
                </c:pt>
                <c:pt idx="13">
                  <c:v>0.98521859103618514</c:v>
                </c:pt>
                <c:pt idx="14">
                  <c:v>1.1579671260518243</c:v>
                </c:pt>
                <c:pt idx="15">
                  <c:v>1.3449406838593987</c:v>
                </c:pt>
                <c:pt idx="16">
                  <c:v>1.5461859451278346</c:v>
                </c:pt>
                <c:pt idx="17">
                  <c:v>1.7617494905725721</c:v>
                </c:pt>
                <c:pt idx="18">
                  <c:v>1.9916777991452683</c:v>
                </c:pt>
                <c:pt idx="19">
                  <c:v>2.2360172462183869</c:v>
                </c:pt>
                <c:pt idx="20">
                  <c:v>2.4948141017648275</c:v>
                </c:pt>
                <c:pt idx="21">
                  <c:v>2.7681080494960266</c:v>
                </c:pt>
                <c:pt idx="22">
                  <c:v>3.0559256875977927</c:v>
                </c:pt>
                <c:pt idx="23">
                  <c:v>3.3582869794392054</c:v>
                </c:pt>
                <c:pt idx="24">
                  <c:v>3.6752117230480756</c:v>
                </c:pt>
                <c:pt idx="25">
                  <c:v>4.006719550019838</c:v>
                </c:pt>
                <c:pt idx="26">
                  <c:v>4.3528151225208758</c:v>
                </c:pt>
                <c:pt idx="27">
                  <c:v>4.7135022929252681</c:v>
                </c:pt>
                <c:pt idx="28">
                  <c:v>5.0887989139176417</c:v>
                </c:pt>
                <c:pt idx="29">
                  <c:v>5.4787226962524684</c:v>
                </c:pt>
                <c:pt idx="30">
                  <c:v>5.8832912166398641</c:v>
                </c:pt>
                <c:pt idx="31">
                  <c:v>6.3025219141642737</c:v>
                </c:pt>
                <c:pt idx="32">
                  <c:v>6.7364320869631626</c:v>
                </c:pt>
                <c:pt idx="33">
                  <c:v>7.1850388891331489</c:v>
                </c:pt>
                <c:pt idx="34">
                  <c:v>7.6483593278361628</c:v>
                </c:pt>
                <c:pt idx="35">
                  <c:v>8.1264102605823965</c:v>
                </c:pt>
                <c:pt idx="36">
                  <c:v>8.6192083926702825</c:v>
                </c:pt>
                <c:pt idx="37">
                  <c:v>9.1267702747665815</c:v>
                </c:pt>
                <c:pt idx="38">
                  <c:v>9.6491123006120247</c:v>
                </c:pt>
                <c:pt idx="39">
                  <c:v>10.186250704839962</c:v>
                </c:pt>
                <c:pt idx="40">
                  <c:v>10.738201560897135</c:v>
                </c:pt>
                <c:pt idx="41">
                  <c:v>11.30497573154603</c:v>
                </c:pt>
                <c:pt idx="42">
                  <c:v>11.886573806987526</c:v>
                </c:pt>
                <c:pt idx="43">
                  <c:v>12.48299113334086</c:v>
                </c:pt>
                <c:pt idx="44">
                  <c:v>13.094222854003295</c:v>
                </c:pt>
                <c:pt idx="45">
                  <c:v>13.720263908657003</c:v>
                </c:pt>
                <c:pt idx="46">
                  <c:v>14.361109032348294</c:v>
                </c:pt>
                <c:pt idx="47">
                  <c:v>15.016752754634005</c:v>
                </c:pt>
                <c:pt idx="48">
                  <c:v>15.687189398790466</c:v>
                </c:pt>
                <c:pt idx="49">
                  <c:v>16.372413081080914</c:v>
                </c:pt>
                <c:pt idx="50">
                  <c:v>17.072417710077747</c:v>
                </c:pt>
                <c:pt idx="51">
                  <c:v>17.787196986036282</c:v>
                </c:pt>
                <c:pt idx="52">
                  <c:v>18.516744400317094</c:v>
                </c:pt>
                <c:pt idx="53">
                  <c:v>19.261053234854291</c:v>
                </c:pt>
                <c:pt idx="54">
                  <c:v>20.020116561667326</c:v>
                </c:pt>
                <c:pt idx="55">
                  <c:v>20.793927242414163</c:v>
                </c:pt>
                <c:pt idx="56">
                  <c:v>21.58247792798387</c:v>
                </c:pt>
                <c:pt idx="57">
                  <c:v>22.385761058126832</c:v>
                </c:pt>
                <c:pt idx="58">
                  <c:v>23.203768861120967</c:v>
                </c:pt>
                <c:pt idx="59">
                  <c:v>24.036493353472483</c:v>
                </c:pt>
                <c:pt idx="60">
                  <c:v>24.883926339649811</c:v>
                </c:pt>
                <c:pt idx="61">
                  <c:v>25.746059411849487</c:v>
                </c:pt>
                <c:pt idx="62">
                  <c:v>26.62288394979284</c:v>
                </c:pt>
                <c:pt idx="63">
                  <c:v>27.514391120552467</c:v>
                </c:pt>
                <c:pt idx="64">
                  <c:v>28.420571878407515</c:v>
                </c:pt>
                <c:pt idx="65">
                  <c:v>29.341416964726893</c:v>
                </c:pt>
                <c:pt idx="66">
                  <c:v>30.276916907879627</c:v>
                </c:pt>
                <c:pt idx="67">
                  <c:v>31.227062023171555</c:v>
                </c:pt>
                <c:pt idx="68">
                  <c:v>32.191842412807688</c:v>
                </c:pt>
                <c:pt idx="69">
                  <c:v>33.171247965879623</c:v>
                </c:pt>
                <c:pt idx="70">
                  <c:v>34.165268358377332</c:v>
                </c:pt>
                <c:pt idx="71">
                  <c:v>35.173893053224816</c:v>
                </c:pt>
                <c:pt idx="72">
                  <c:v>36.197111300339095</c:v>
                </c:pt>
                <c:pt idx="73">
                  <c:v>37.234912136712033</c:v>
                </c:pt>
                <c:pt idx="74">
                  <c:v>38.287284386514528</c:v>
                </c:pt>
                <c:pt idx="75">
                  <c:v>39.354216661222665</c:v>
                </c:pt>
                <c:pt idx="76">
                  <c:v>40.435697359765399</c:v>
                </c:pt>
                <c:pt idx="77">
                  <c:v>41.53171466869339</c:v>
                </c:pt>
                <c:pt idx="78">
                  <c:v>42.642256562368658</c:v>
                </c:pt>
                <c:pt idx="79">
                  <c:v>43.767310803174666</c:v>
                </c:pt>
                <c:pt idx="80">
                  <c:v>44.906864941746555</c:v>
                </c:pt>
                <c:pt idx="81">
                  <c:v>46.060901173973988</c:v>
                </c:pt>
                <c:pt idx="82">
                  <c:v>47.229391188020493</c:v>
                </c:pt>
                <c:pt idx="83">
                  <c:v>48.41230129613966</c:v>
                </c:pt>
                <c:pt idx="84">
                  <c:v>49.609597576989934</c:v>
                </c:pt>
                <c:pt idx="85">
                  <c:v>50.821245876915398</c:v>
                </c:pt>
                <c:pt idx="86">
                  <c:v>52.047211811247202</c:v>
                </c:pt>
                <c:pt idx="87">
                  <c:v>53.287460765625205</c:v>
                </c:pt>
                <c:pt idx="88">
                  <c:v>54.541957897339366</c:v>
                </c:pt>
                <c:pt idx="89">
                  <c:v>55.810668136690488</c:v>
                </c:pt>
                <c:pt idx="90">
                  <c:v>57.093556188369924</c:v>
                </c:pt>
                <c:pt idx="91">
                  <c:v>58.390584258023168</c:v>
                </c:pt>
                <c:pt idx="92">
                  <c:v>59.701709774842016</c:v>
                </c:pt>
                <c:pt idx="93">
                  <c:v>61.026887663502151</c:v>
                </c:pt>
                <c:pt idx="94">
                  <c:v>62.366072620338954</c:v>
                </c:pt>
                <c:pt idx="95">
                  <c:v>63.719219115278584</c:v>
                </c:pt>
                <c:pt idx="96">
                  <c:v>65.086281393785441</c:v>
                </c:pt>
                <c:pt idx="97">
                  <c:v>66.467213478825656</c:v>
                </c:pt>
                <c:pt idx="98">
                  <c:v>67.861969172846131</c:v>
                </c:pt>
                <c:pt idx="99">
                  <c:v>69.27050205976866</c:v>
                </c:pt>
                <c:pt idx="100">
                  <c:v>70.692765506998754</c:v>
                </c:pt>
                <c:pt idx="101">
                  <c:v>72.128712303204182</c:v>
                </c:pt>
                <c:pt idx="102">
                  <c:v>73.578294295543742</c:v>
                </c:pt>
                <c:pt idx="103">
                  <c:v>75.041462755411374</c:v>
                </c:pt>
                <c:pt idx="104">
                  <c:v>76.518168744794778</c:v>
                </c:pt>
                <c:pt idx="105">
                  <c:v>78.00836311842717</c:v>
                </c:pt>
                <c:pt idx="106">
                  <c:v>79.511996525951048</c:v>
                </c:pt>
                <c:pt idx="107">
                  <c:v>81.029019414093682</c:v>
                </c:pt>
                <c:pt idx="108">
                  <c:v>82.559382028853761</c:v>
                </c:pt>
                <c:pt idx="109">
                  <c:v>84.10303441769895</c:v>
                </c:pt>
                <c:pt idx="110">
                  <c:v>85.659926431773883</c:v>
                </c:pt>
                <c:pt idx="111">
                  <c:v>87.23001192631898</c:v>
                </c:pt>
                <c:pt idx="112">
                  <c:v>88.813252966740635</c:v>
                </c:pt>
                <c:pt idx="113">
                  <c:v>90.409615637399767</c:v>
                </c:pt>
                <c:pt idx="114">
                  <c:v>92.01906584435514</c:v>
                </c:pt>
                <c:pt idx="115">
                  <c:v>93.64156931679392</c:v>
                </c:pt>
                <c:pt idx="116">
                  <c:v>95.277091608472546</c:v>
                </c:pt>
                <c:pt idx="117">
                  <c:v>96.925598099167672</c:v>
                </c:pt>
                <c:pt idx="118">
                  <c:v>98.587053996136902</c:v>
                </c:pt>
                <c:pt idx="119">
                  <c:v>100.26142433558914</c:v>
                </c:pt>
                <c:pt idx="120">
                  <c:v>101.94867398416433</c:v>
                </c:pt>
                <c:pt idx="121">
                  <c:v>103.64876066985023</c:v>
                </c:pt>
                <c:pt idx="122">
                  <c:v>105.3616280047659</c:v>
                </c:pt>
                <c:pt idx="123">
                  <c:v>107.08721245174156</c:v>
                </c:pt>
                <c:pt idx="124">
                  <c:v>108.8254502997507</c:v>
                </c:pt>
                <c:pt idx="125">
                  <c:v>110.57627766683351</c:v>
                </c:pt>
                <c:pt idx="126">
                  <c:v>112.33963050302273</c:v>
                </c:pt>
                <c:pt idx="127">
                  <c:v>114.11544459327139</c:v>
                </c:pt>
                <c:pt idx="128">
                  <c:v>115.90365556038202</c:v>
                </c:pt>
                <c:pt idx="129">
                  <c:v>117.70419886793688</c:v>
                </c:pt>
                <c:pt idx="130">
                  <c:v>119.51700982322879</c:v>
                </c:pt>
                <c:pt idx="131">
                  <c:v>121.34202175337278</c:v>
                </c:pt>
                <c:pt idx="132">
                  <c:v>123.17916417971402</c:v>
                </c:pt>
                <c:pt idx="133">
                  <c:v>125.0283646469301</c:v>
                </c:pt>
                <c:pt idx="134">
                  <c:v>126.88955055403305</c:v>
                </c:pt>
                <c:pt idx="135">
                  <c:v>128.76264915769033</c:v>
                </c:pt>
                <c:pt idx="136">
                  <c:v>130.64758757554105</c:v>
                </c:pt>
                <c:pt idx="137">
                  <c:v>132.5442927895073</c:v>
                </c:pt>
                <c:pt idx="138">
                  <c:v>134.45269164909971</c:v>
                </c:pt>
                <c:pt idx="139">
                  <c:v>136.37271087471717</c:v>
                </c:pt>
                <c:pt idx="140">
                  <c:v>138.30427706094005</c:v>
                </c:pt>
                <c:pt idx="141">
                  <c:v>140.24729481493463</c:v>
                </c:pt>
                <c:pt idx="142">
                  <c:v>142.20162488015424</c:v>
                </c:pt>
                <c:pt idx="143">
                  <c:v>144.16710600725878</c:v>
                </c:pt>
                <c:pt idx="144">
                  <c:v>146.14357684261009</c:v>
                </c:pt>
                <c:pt idx="145">
                  <c:v>148.13087593727192</c:v>
                </c:pt>
                <c:pt idx="146">
                  <c:v>150.12884175594004</c:v>
                </c:pt>
                <c:pt idx="147">
                  <c:v>152.13731268580099</c:v>
                </c:pt>
                <c:pt idx="148">
                  <c:v>154.15612704531819</c:v>
                </c:pt>
                <c:pt idx="149">
                  <c:v>156.18512309294394</c:v>
                </c:pt>
                <c:pt idx="150">
                  <c:v>158.22413903575611</c:v>
                </c:pt>
                <c:pt idx="151">
                  <c:v>160.27301303801812</c:v>
                </c:pt>
                <c:pt idx="152">
                  <c:v>162.33158322966094</c:v>
                </c:pt>
                <c:pt idx="153">
                  <c:v>164.39968771468605</c:v>
                </c:pt>
                <c:pt idx="154">
                  <c:v>166.47716457948809</c:v>
                </c:pt>
                <c:pt idx="155">
                  <c:v>168.56385190109609</c:v>
                </c:pt>
                <c:pt idx="156">
                  <c:v>170.65948406873861</c:v>
                </c:pt>
                <c:pt idx="157">
                  <c:v>172.76358810997405</c:v>
                </c:pt>
                <c:pt idx="158">
                  <c:v>174.87558752968414</c:v>
                </c:pt>
                <c:pt idx="159">
                  <c:v>176.99490617163832</c:v>
                </c:pt>
                <c:pt idx="160">
                  <c:v>179.1209682804064</c:v>
                </c:pt>
                <c:pt idx="161">
                  <c:v>181.25306670071873</c:v>
                </c:pt>
                <c:pt idx="162">
                  <c:v>183.39023118914014</c:v>
                </c:pt>
                <c:pt idx="163">
                  <c:v>185.53137327724281</c:v>
                </c:pt>
                <c:pt idx="164">
                  <c:v>187.67543107044997</c:v>
                </c:pt>
                <c:pt idx="165">
                  <c:v>189.82148279423609</c:v>
                </c:pt>
                <c:pt idx="166">
                  <c:v>191.96886013002424</c:v>
                </c:pt>
                <c:pt idx="167">
                  <c:v>194.11692611771124</c:v>
                </c:pt>
                <c:pt idx="168">
                  <c:v>196.26492268820803</c:v>
                </c:pt>
                <c:pt idx="169">
                  <c:v>198.41186894639603</c:v>
                </c:pt>
                <c:pt idx="170">
                  <c:v>200.5565290609434</c:v>
                </c:pt>
                <c:pt idx="171">
                  <c:v>202.69803915135117</c:v>
                </c:pt>
                <c:pt idx="172">
                  <c:v>204.83618618955552</c:v>
                </c:pt>
                <c:pt idx="173">
                  <c:v>206.97097811692322</c:v>
                </c:pt>
                <c:pt idx="174">
                  <c:v>209.10242284155143</c:v>
                </c:pt>
                <c:pt idx="175">
                  <c:v>211.23052823845293</c:v>
                </c:pt>
                <c:pt idx="176">
                  <c:v>213.35530214974031</c:v>
                </c:pt>
                <c:pt idx="177">
                  <c:v>215.47675238480855</c:v>
                </c:pt>
                <c:pt idx="178">
                  <c:v>217.5948867205166</c:v>
                </c:pt>
                <c:pt idx="179">
                  <c:v>219.70971290136751</c:v>
                </c:pt>
                <c:pt idx="180">
                  <c:v>221.82123863968746</c:v>
                </c:pt>
                <c:pt idx="181">
                  <c:v>223.92947161580332</c:v>
                </c:pt>
                <c:pt idx="182">
                  <c:v>226.03441947821921</c:v>
                </c:pt>
                <c:pt idx="183">
                  <c:v>228.13608984379167</c:v>
                </c:pt>
                <c:pt idx="184">
                  <c:v>230.23449029790373</c:v>
                </c:pt>
                <c:pt idx="185">
                  <c:v>232.32962839463764</c:v>
                </c:pt>
                <c:pt idx="186">
                  <c:v>234.42151165694651</c:v>
                </c:pt>
                <c:pt idx="187">
                  <c:v>236.51014757682478</c:v>
                </c:pt>
                <c:pt idx="188">
                  <c:v>238.59554361547742</c:v>
                </c:pt>
                <c:pt idx="189">
                  <c:v>240.67770720348804</c:v>
                </c:pt>
                <c:pt idx="190">
                  <c:v>242.75664574098573</c:v>
                </c:pt>
                <c:pt idx="191">
                  <c:v>244.83236659781096</c:v>
                </c:pt>
                <c:pt idx="192">
                  <c:v>246.90487711368016</c:v>
                </c:pt>
                <c:pt idx="193">
                  <c:v>248.97418459834918</c:v>
                </c:pt>
                <c:pt idx="194">
                  <c:v>251.04029633177583</c:v>
                </c:pt>
                <c:pt idx="195">
                  <c:v>253.10321956428098</c:v>
                </c:pt>
                <c:pt idx="196">
                  <c:v>255.16296151670886</c:v>
                </c:pt>
                <c:pt idx="197">
                  <c:v>257.21952938058615</c:v>
                </c:pt>
                <c:pt idx="198">
                  <c:v>259.27293031827998</c:v>
                </c:pt>
                <c:pt idx="199">
                  <c:v>261.32317146315472</c:v>
                </c:pt>
                <c:pt idx="200">
                  <c:v>263.37025991972808</c:v>
                </c:pt>
                <c:pt idx="201">
                  <c:v>283.66829468346327</c:v>
                </c:pt>
                <c:pt idx="202">
                  <c:v>303.65560741061989</c:v>
                </c:pt>
                <c:pt idx="203">
                  <c:v>323.33903236373135</c:v>
                </c:pt>
                <c:pt idx="204">
                  <c:v>342.72513496630921</c:v>
                </c:pt>
                <c:pt idx="205">
                  <c:v>361.82022568921786</c:v>
                </c:pt>
                <c:pt idx="206">
                  <c:v>380.63037304105472</c:v>
                </c:pt>
                <c:pt idx="207">
                  <c:v>399.16141573136991</c:v>
                </c:pt>
                <c:pt idx="208">
                  <c:v>417.41897406944025</c:v>
                </c:pt>
                <c:pt idx="209">
                  <c:v>435.40846065581081</c:v>
                </c:pt>
                <c:pt idx="210">
                  <c:v>453.1350904188613</c:v>
                </c:pt>
                <c:pt idx="211">
                  <c:v>470.6038900441842</c:v>
                </c:pt>
                <c:pt idx="212">
                  <c:v>487.81970684052635</c:v>
                </c:pt>
                <c:pt idx="213">
                  <c:v>504.78721708239391</c:v>
                </c:pt>
                <c:pt idx="214">
                  <c:v>521.51093386611592</c:v>
                </c:pt>
                <c:pt idx="215">
                  <c:v>537.99521451316571</c:v>
                </c:pt>
                <c:pt idx="216">
                  <c:v>554.24426755181798</c:v>
                </c:pt>
                <c:pt idx="217">
                  <c:v>570.26215930574847</c:v>
                </c:pt>
                <c:pt idx="218">
                  <c:v>586.05282011593454</c:v>
                </c:pt>
                <c:pt idx="219">
                  <c:v>601.62005022016444</c:v>
                </c:pt>
                <c:pt idx="220">
                  <c:v>616.96752531259722</c:v>
                </c:pt>
                <c:pt idx="221">
                  <c:v>632.09880180410789</c:v>
                </c:pt>
                <c:pt idx="222">
                  <c:v>647.01732180259648</c:v>
                </c:pt>
                <c:pt idx="223">
                  <c:v>661.72641783101085</c:v>
                </c:pt>
                <c:pt idx="224">
                  <c:v>676.22931729953143</c:v>
                </c:pt>
                <c:pt idx="225">
                  <c:v>690.52914674716646</c:v>
                </c:pt>
                <c:pt idx="226">
                  <c:v>704.62893586691018</c:v>
                </c:pt>
                <c:pt idx="227">
                  <c:v>718.53162132760872</c:v>
                </c:pt>
                <c:pt idx="228">
                  <c:v>732.24005040475038</c:v>
                </c:pt>
                <c:pt idx="229">
                  <c:v>745.75698443154556</c:v>
                </c:pt>
                <c:pt idx="230">
                  <c:v>759.08510208087625</c:v>
                </c:pt>
                <c:pt idx="231">
                  <c:v>772.22700248797207</c:v>
                </c:pt>
                <c:pt idx="232">
                  <c:v>785.18520822300138</c:v>
                </c:pt>
                <c:pt idx="233">
                  <c:v>797.96216812215118</c:v>
                </c:pt>
                <c:pt idx="234">
                  <c:v>810.56025998519976</c:v>
                </c:pt>
                <c:pt idx="235">
                  <c:v>822.98179314705976</c:v>
                </c:pt>
                <c:pt idx="236">
                  <c:v>835.22901093028247</c:v>
                </c:pt>
                <c:pt idx="237">
                  <c:v>847.30409298506368</c:v>
                </c:pt>
                <c:pt idx="238">
                  <c:v>859.20915752287192</c:v>
                </c:pt>
                <c:pt idx="239">
                  <c:v>870.94626344943447</c:v>
                </c:pt>
                <c:pt idx="240">
                  <c:v>882.51741240245531</c:v>
                </c:pt>
                <c:pt idx="241">
                  <c:v>893.92455069910454</c:v>
                </c:pt>
                <c:pt idx="242">
                  <c:v>905.169571198011</c:v>
                </c:pt>
                <c:pt idx="243">
                  <c:v>916.25431508019699</c:v>
                </c:pt>
                <c:pt idx="244">
                  <c:v>927.18057355312931</c:v>
                </c:pt>
                <c:pt idx="245">
                  <c:v>937.95008948180725</c:v>
                </c:pt>
                <c:pt idx="246">
                  <c:v>948.56455895057707</c:v>
                </c:pt>
                <c:pt idx="247">
                  <c:v>959.02563275914395</c:v>
                </c:pt>
                <c:pt idx="248">
                  <c:v>969.33491785604974</c:v>
                </c:pt>
                <c:pt idx="249">
                  <c:v>979.49397871269559</c:v>
                </c:pt>
                <c:pt idx="250">
                  <c:v>989.5043386408114</c:v>
                </c:pt>
                <c:pt idx="251">
                  <c:v>999.36748105610877</c:v>
                </c:pt>
                <c:pt idx="252">
                  <c:v>1009.0848506906991</c:v>
                </c:pt>
                <c:pt idx="253">
                  <c:v>1018.6578547567143</c:v>
                </c:pt>
                <c:pt idx="254">
                  <c:v>1028.0878640634319</c:v>
                </c:pt>
                <c:pt idx="255">
                  <c:v>1037.3762140900787</c:v>
                </c:pt>
                <c:pt idx="256">
                  <c:v>1046.5242060163703</c:v>
                </c:pt>
                <c:pt idx="257">
                  <c:v>1055.5331077127275</c:v>
                </c:pt>
                <c:pt idx="258">
                  <c:v>1064.4041546920148</c:v>
                </c:pt>
                <c:pt idx="259">
                  <c:v>1073.1385510245357</c:v>
                </c:pt>
                <c:pt idx="260">
                  <c:v>1081.7374702179393</c:v>
                </c:pt>
                <c:pt idx="261">
                  <c:v>1090.2020560635988</c:v>
                </c:pt>
                <c:pt idx="262">
                  <c:v>1098.5334234509421</c:v>
                </c:pt>
                <c:pt idx="263">
                  <c:v>1106.732659151141</c:v>
                </c:pt>
                <c:pt idx="264">
                  <c:v>1114.80082257149</c:v>
                </c:pt>
                <c:pt idx="265">
                  <c:v>1122.7389464817406</c:v>
                </c:pt>
                <c:pt idx="266">
                  <c:v>1130.5480377135914</c:v>
                </c:pt>
                <c:pt idx="267">
                  <c:v>1138.2290778344752</c:v>
                </c:pt>
                <c:pt idx="268">
                  <c:v>1145.7830237967282</c:v>
                </c:pt>
                <c:pt idx="269">
                  <c:v>1153.2108085631705</c:v>
                </c:pt>
                <c:pt idx="270">
                  <c:v>1160.5133417100819</c:v>
                </c:pt>
                <c:pt idx="271">
                  <c:v>1167.6915100085039</c:v>
                </c:pt>
                <c:pt idx="272">
                  <c:v>1174.7461779847579</c:v>
                </c:pt>
                <c:pt idx="273">
                  <c:v>1181.6781884610273</c:v>
                </c:pt>
                <c:pt idx="274">
                  <c:v>1188.4883630768104</c:v>
                </c:pt>
                <c:pt idx="275">
                  <c:v>1195.1775027920141</c:v>
                </c:pt>
                <c:pt idx="276">
                  <c:v>1201.7463883724231</c:v>
                </c:pt>
                <c:pt idx="277">
                  <c:v>1208.1957808582474</c:v>
                </c:pt>
                <c:pt idx="278">
                  <c:v>1214.5264220164181</c:v>
                </c:pt>
                <c:pt idx="279">
                  <c:v>1220.739034777273</c:v>
                </c:pt>
                <c:pt idx="280">
                  <c:v>1226.8343236562464</c:v>
                </c:pt>
                <c:pt idx="281">
                  <c:v>1232.8129751611496</c:v>
                </c:pt>
                <c:pt idx="282">
                  <c:v>1238.6756581856084</c:v>
                </c:pt>
                <c:pt idx="283">
                  <c:v>1244.4230243891961</c:v>
                </c:pt>
                <c:pt idx="284">
                  <c:v>1250.0557085647838</c:v>
                </c:pt>
                <c:pt idx="285">
                  <c:v>1255.5743289936074</c:v>
                </c:pt>
                <c:pt idx="286">
                  <c:v>1260.9794877885349</c:v>
                </c:pt>
                <c:pt idx="287">
                  <c:v>1266.2717712259966</c:v>
                </c:pt>
                <c:pt idx="288">
                  <c:v>1271.4517500670313</c:v>
                </c:pt>
                <c:pt idx="289">
                  <c:v>1276.5199798678821</c:v>
                </c:pt>
                <c:pt idx="290">
                  <c:v>1281.4770012805673</c:v>
                </c:pt>
                <c:pt idx="291">
                  <c:v>1286.3233403438369</c:v>
                </c:pt>
                <c:pt idx="292">
                  <c:v>1291.0595087649178</c:v>
                </c:pt>
                <c:pt idx="293">
                  <c:v>1295.6860041924433</c:v>
                </c:pt>
                <c:pt idx="294">
                  <c:v>1300.2033104809532</c:v>
                </c:pt>
                <c:pt idx="295">
                  <c:v>1304.6118979473474</c:v>
                </c:pt>
                <c:pt idx="296">
                  <c:v>1308.9122236196747</c:v>
                </c:pt>
                <c:pt idx="297">
                  <c:v>1313.1047314786308</c:v>
                </c:pt>
                <c:pt idx="298">
                  <c:v>1317.1898526921482</c:v>
                </c:pt>
                <c:pt idx="299">
                  <c:v>1321.1680058434563</c:v>
                </c:pt>
                <c:pt idx="300">
                  <c:v>1325.0395971529981</c:v>
                </c:pt>
                <c:pt idx="301">
                  <c:v>1328.8050206945975</c:v>
                </c:pt>
                <c:pt idx="302">
                  <c:v>1332.4646586062788</c:v>
                </c:pt>
                <c:pt idx="303">
                  <c:v>1336.0188812961553</c:v>
                </c:pt>
                <c:pt idx="304">
                  <c:v>1339.4680476438182</c:v>
                </c:pt>
                <c:pt idx="305">
                  <c:v>1342.8125051976776</c:v>
                </c:pt>
                <c:pt idx="306">
                  <c:v>1346.0525903687308</c:v>
                </c:pt>
                <c:pt idx="307">
                  <c:v>1349.1886286212577</c:v>
                </c:pt>
                <c:pt idx="308">
                  <c:v>1352.2209346609814</c:v>
                </c:pt>
                <c:pt idx="309">
                  <c:v>1355.1498126212621</c:v>
                </c:pt>
                <c:pt idx="310">
                  <c:v>1357.9755562479399</c:v>
                </c:pt>
                <c:pt idx="311">
                  <c:v>1360.6984490834884</c:v>
                </c:pt>
                <c:pt idx="312">
                  <c:v>1363.3187646511931</c:v>
                </c:pt>
                <c:pt idx="313">
                  <c:v>1365.8367666401339</c:v>
                </c:pt>
                <c:pt idx="314">
                  <c:v>1368.2527090918122</c:v>
                </c:pt>
                <c:pt idx="315">
                  <c:v>1370.5668365893418</c:v>
                </c:pt>
                <c:pt idx="316">
                  <c:v>1372.7793844501955</c:v>
                </c:pt>
                <c:pt idx="317">
                  <c:v>1374.890578923591</c:v>
                </c:pt>
                <c:pt idx="318">
                  <c:v>1376.9006373936827</c:v>
                </c:pt>
                <c:pt idx="319">
                  <c:v>1378.809768589821</c:v>
                </c:pt>
                <c:pt idx="320">
                  <c:v>1380.6181728052304</c:v>
                </c:pt>
                <c:pt idx="321">
                  <c:v>1382.3260421255441</c:v>
                </c:pt>
                <c:pt idx="322">
                  <c:v>1383.9335606687193</c:v>
                </c:pt>
                <c:pt idx="323">
                  <c:v>1385.4409048379175</c:v>
                </c:pt>
                <c:pt idx="324">
                  <c:v>1386.8482435889823</c:v>
                </c:pt>
                <c:pt idx="325">
                  <c:v>1388.1557387141709</c:v>
                </c:pt>
                <c:pt idx="326">
                  <c:v>1389.3635451437672</c:v>
                </c:pt>
                <c:pt idx="327">
                  <c:v>1390.4718112671424</c:v>
                </c:pt>
                <c:pt idx="328">
                  <c:v>1391.4806792746976</c:v>
                </c:pt>
                <c:pt idx="329">
                  <c:v>1392.390285521928</c:v>
                </c:pt>
                <c:pt idx="330">
                  <c:v>1393.2007609165682</c:v>
                </c:pt>
                <c:pt idx="331">
                  <c:v>1393.9122313294231</c:v>
                </c:pt>
                <c:pt idx="332">
                  <c:v>1394.5248180290334</c:v>
                </c:pt>
                <c:pt idx="333">
                  <c:v>1395.0386381398002</c:v>
                </c:pt>
                <c:pt idx="334">
                  <c:v>1395.4538051225873</c:v>
                </c:pt>
                <c:pt idx="335">
                  <c:v>1395.7704292761664</c:v>
                </c:pt>
                <c:pt idx="336">
                  <c:v>1395.9886182571956</c:v>
                </c:pt>
                <c:pt idx="337">
                  <c:v>1396.1084776157461</c:v>
                </c:pt>
                <c:pt idx="338">
                  <c:v>1396.1301113427789</c:v>
                </c:pt>
                <c:pt idx="339">
                  <c:v>1396.0536224254402</c:v>
                </c:pt>
                <c:pt idx="340">
                  <c:v>1395.8791134056396</c:v>
                </c:pt>
                <c:pt idx="341">
                  <c:v>1395.6066869371339</c:v>
                </c:pt>
                <c:pt idx="342">
                  <c:v>1395.236446336261</c:v>
                </c:pt>
                <c:pt idx="343">
                  <c:v>1394.7684961215878</c:v>
                </c:pt>
                <c:pt idx="344">
                  <c:v>1394.2029425380147</c:v>
                </c:pt>
                <c:pt idx="345">
                  <c:v>1393.5398940613209</c:v>
                </c:pt>
                <c:pt idx="346">
                  <c:v>1392.7794618796868</c:v>
                </c:pt>
                <c:pt idx="347">
                  <c:v>1391.9217603493701</c:v>
                </c:pt>
                <c:pt idx="348">
                  <c:v>1390.9669074223887</c:v>
                </c:pt>
                <c:pt idx="349">
                  <c:v>1389.915025044744</c:v>
                </c:pt>
                <c:pt idx="350">
                  <c:v>1388.7662395243651</c:v>
                </c:pt>
                <c:pt idx="351">
                  <c:v>1387.5206818685447</c:v>
                </c:pt>
                <c:pt idx="352">
                  <c:v>1386.1784880911496</c:v>
                </c:pt>
                <c:pt idx="353">
                  <c:v>1384.739799490321</c:v>
                </c:pt>
                <c:pt idx="354">
                  <c:v>1383.204762897713</c:v>
                </c:pt>
                <c:pt idx="355">
                  <c:v>1381.5735309005772</c:v>
                </c:pt>
                <c:pt idx="356">
                  <c:v>1379.8462620381754</c:v>
                </c:pt>
                <c:pt idx="357">
                  <c:v>1378.0231209741062</c:v>
                </c:pt>
                <c:pt idx="358">
                  <c:v>1376.1042786461874</c:v>
                </c:pt>
                <c:pt idx="359">
                  <c:v>1374.0899123955319</c:v>
                </c:pt>
                <c:pt idx="360">
                  <c:v>1371.9802060764262</c:v>
                </c:pt>
                <c:pt idx="361">
                  <c:v>1369.7753501485574</c:v>
                </c:pt>
                <c:pt idx="362">
                  <c:v>1367.4755417530591</c:v>
                </c:pt>
                <c:pt idx="363">
                  <c:v>1365.0809847737514</c:v>
                </c:pt>
                <c:pt idx="364">
                  <c:v>1362.5918898848577</c:v>
                </c:pt>
                <c:pt idx="365">
                  <c:v>1360.0084745863792</c:v>
                </c:pt>
                <c:pt idx="366">
                  <c:v>1357.330963228211</c:v>
                </c:pt>
                <c:pt idx="367">
                  <c:v>1354.559587023987</c:v>
                </c:pt>
                <c:pt idx="368">
                  <c:v>1351.6945840555527</c:v>
                </c:pt>
                <c:pt idx="369">
                  <c:v>1348.7361992688786</c:v>
                </c:pt>
                <c:pt idx="370">
                  <c:v>1345.68468446215</c:v>
                </c:pt>
                <c:pt idx="371">
                  <c:v>1342.5402982666967</c:v>
                </c:pt>
                <c:pt idx="372">
                  <c:v>1339.3033061213591</c:v>
                </c:pt>
                <c:pt idx="373">
                  <c:v>1335.973980240831</c:v>
                </c:pt>
                <c:pt idx="374">
                  <c:v>1332.5525995784622</c:v>
                </c:pt>
                <c:pt idx="375">
                  <c:v>1329.0394497839613</c:v>
                </c:pt>
                <c:pt idx="376">
                  <c:v>1325.4348231563897</c:v>
                </c:pt>
                <c:pt idx="377">
                  <c:v>1321.7390185928043</c:v>
                </c:pt>
                <c:pt idx="378">
                  <c:v>1317.9523415328724</c:v>
                </c:pt>
                <c:pt idx="379">
                  <c:v>1314.0751038997478</c:v>
                </c:pt>
                <c:pt idx="380">
                  <c:v>1310.1076240374753</c:v>
                </c:pt>
                <c:pt idx="381">
                  <c:v>1306.0502266451642</c:v>
                </c:pt>
                <c:pt idx="382">
                  <c:v>1301.9032427081509</c:v>
                </c:pt>
                <c:pt idx="383">
                  <c:v>1297.6670094263507</c:v>
                </c:pt>
                <c:pt idx="384">
                  <c:v>1293.3418701399867</c:v>
                </c:pt>
                <c:pt idx="385">
                  <c:v>1288.9281742528628</c:v>
                </c:pt>
                <c:pt idx="386">
                  <c:v>1284.4262771533404</c:v>
                </c:pt>
                <c:pt idx="387">
                  <c:v>1279.8365401331619</c:v>
                </c:pt>
                <c:pt idx="388">
                  <c:v>1275.1593303042605</c:v>
                </c:pt>
                <c:pt idx="389">
                  <c:v>1270.3950205136782</c:v>
                </c:pt>
                <c:pt idx="390">
                  <c:v>1265.543989256714</c:v>
                </c:pt>
                <c:pt idx="391">
                  <c:v>1260.6066205884108</c:v>
                </c:pt>
                <c:pt idx="392">
                  <c:v>1255.5833040334887</c:v>
                </c:pt>
                <c:pt idx="393">
                  <c:v>1250.4744344948208</c:v>
                </c:pt>
                <c:pt idx="394">
                  <c:v>1245.280412160547</c:v>
                </c:pt>
                <c:pt idx="395">
                  <c:v>1240.0016424099165</c:v>
                </c:pt>
                <c:pt idx="396">
                  <c:v>1234.6385357179413</c:v>
                </c:pt>
                <c:pt idx="397">
                  <c:v>1229.1915075589454</c:v>
                </c:pt>
                <c:pt idx="398">
                  <c:v>1223.660978309086</c:v>
                </c:pt>
                <c:pt idx="399">
                  <c:v>1218.0473731479221</c:v>
                </c:pt>
                <c:pt idx="400">
                  <c:v>1212.3511219591055</c:v>
                </c:pt>
                <c:pt idx="401">
                  <c:v>1206.5726592302601</c:v>
                </c:pt>
                <c:pt idx="402">
                  <c:v>1200.7124239521208</c:v>
                </c:pt>
                <c:pt idx="403">
                  <c:v>1194.7708595169963</c:v>
                </c:pt>
                <c:pt idx="404">
                  <c:v>1188.7484136166188</c:v>
                </c:pt>
                <c:pt idx="405">
                  <c:v>1182.6455381394435</c:v>
                </c:pt>
                <c:pt idx="406">
                  <c:v>1176.4626890674579</c:v>
                </c:pt>
                <c:pt idx="407">
                  <c:v>1170.2003263725594</c:v>
                </c:pt>
                <c:pt idx="408">
                  <c:v>1163.8589139125584</c:v>
                </c:pt>
                <c:pt idx="409">
                  <c:v>1157.4389193268619</c:v>
                </c:pt>
                <c:pt idx="410">
                  <c:v>1150.9408139318939</c:v>
                </c:pt>
                <c:pt idx="411">
                  <c:v>1144.3650726163041</c:v>
                </c:pt>
                <c:pt idx="412">
                  <c:v>1137.7121737360169</c:v>
                </c:pt>
                <c:pt idx="413">
                  <c:v>1130.9825990091726</c:v>
                </c:pt>
                <c:pt idx="414">
                  <c:v>1124.17683341101</c:v>
                </c:pt>
                <c:pt idx="415">
                  <c:v>1117.2953650687382</c:v>
                </c:pt>
                <c:pt idx="416">
                  <c:v>1110.3386851564458</c:v>
                </c:pt>
                <c:pt idx="417">
                  <c:v>1103.3072877900947</c:v>
                </c:pt>
                <c:pt idx="418">
                  <c:v>1096.2016699226424</c:v>
                </c:pt>
                <c:pt idx="419">
                  <c:v>1089.022331239338</c:v>
                </c:pt>
                <c:pt idx="420">
                  <c:v>1081.7697740532362</c:v>
                </c:pt>
                <c:pt idx="421">
                  <c:v>1074.4445032009703</c:v>
                </c:pt>
                <c:pt idx="422">
                  <c:v>1067.0470259388267</c:v>
                </c:pt>
                <c:pt idx="423">
                  <c:v>1059.5778518391612</c:v>
                </c:pt>
                <c:pt idx="424">
                  <c:v>1052.0374926871973</c:v>
                </c:pt>
                <c:pt idx="425">
                  <c:v>1044.4264623782433</c:v>
                </c:pt>
                <c:pt idx="426">
                  <c:v>1036.7452768153694</c:v>
                </c:pt>
                <c:pt idx="427">
                  <c:v>1028.9944538075777</c:v>
                </c:pt>
                <c:pt idx="428">
                  <c:v>1021.1745129685039</c:v>
                </c:pt>
                <c:pt idx="429">
                  <c:v>1013.2859756156847</c:v>
                </c:pt>
                <c:pt idx="430">
                  <c:v>1005.3293646704241</c:v>
                </c:pt>
                <c:pt idx="431">
                  <c:v>997.30520455829333</c:v>
                </c:pt>
                <c:pt idx="432">
                  <c:v>989.21402111029545</c:v>
                </c:pt>
                <c:pt idx="433">
                  <c:v>981.05634146472607</c:v>
                </c:pt>
                <c:pt idx="434">
                  <c:v>972.83269396976141</c:v>
                </c:pt>
                <c:pt idx="435">
                  <c:v>964.54360808680133</c:v>
                </c:pt>
                <c:pt idx="436">
                  <c:v>956.18961429459819</c:v>
                </c:pt>
                <c:pt idx="437">
                  <c:v>947.77124399419688</c:v>
                </c:pt>
                <c:pt idx="438">
                  <c:v>939.28902941471461</c:v>
                </c:pt>
                <c:pt idx="439">
                  <c:v>930.74350351998487</c:v>
                </c:pt>
                <c:pt idx="440">
                  <c:v>922.13519991609132</c:v>
                </c:pt>
                <c:pt idx="441">
                  <c:v>913.46465275981507</c:v>
                </c:pt>
                <c:pt idx="442">
                  <c:v>904.73239666801874</c:v>
                </c:pt>
                <c:pt idx="443">
                  <c:v>895.9389666279892</c:v>
                </c:pt>
                <c:pt idx="444">
                  <c:v>887.08489790876069</c:v>
                </c:pt>
                <c:pt idx="445">
                  <c:v>878.17072597343838</c:v>
                </c:pt>
                <c:pt idx="446">
                  <c:v>869.19698639254204</c:v>
                </c:pt>
                <c:pt idx="447">
                  <c:v>860.16421475838831</c:v>
                </c:pt>
                <c:pt idx="448">
                  <c:v>851.07294660052935</c:v>
                </c:pt>
                <c:pt idx="449">
                  <c:v>841.92371730226546</c:v>
                </c:pt>
                <c:pt idx="450">
                  <c:v>832.71706201824645</c:v>
                </c:pt>
                <c:pt idx="451">
                  <c:v>823.45351559317805</c:v>
                </c:pt>
                <c:pt idx="452">
                  <c:v>814.13361248164733</c:v>
                </c:pt>
                <c:pt idx="453">
                  <c:v>804.75788666908045</c:v>
                </c:pt>
                <c:pt idx="454">
                  <c:v>795.32687159384579</c:v>
                </c:pt>
                <c:pt idx="455">
                  <c:v>785.84110007051424</c:v>
                </c:pt>
                <c:pt idx="456">
                  <c:v>776.30110421428731</c:v>
                </c:pt>
                <c:pt idx="457">
                  <c:v>766.7074153666041</c:v>
                </c:pt>
                <c:pt idx="458">
                  <c:v>757.06056402193587</c:v>
                </c:pt>
                <c:pt idx="459">
                  <c:v>747.3610797557775</c:v>
                </c:pt>
                <c:pt idx="460">
                  <c:v>737.60949115384312</c:v>
                </c:pt>
                <c:pt idx="461">
                  <c:v>727.80632574247397</c:v>
                </c:pt>
                <c:pt idx="462">
                  <c:v>717.95210992026364</c:v>
                </c:pt>
                <c:pt idx="463">
                  <c:v>708.04736889090816</c:v>
                </c:pt>
                <c:pt idx="464">
                  <c:v>698.09262659728381</c:v>
                </c:pt>
                <c:pt idx="465">
                  <c:v>688.08840565675894</c:v>
                </c:pt>
                <c:pt idx="466">
                  <c:v>678.0352272977417</c:v>
                </c:pt>
                <c:pt idx="467">
                  <c:v>667.93361129746768</c:v>
                </c:pt>
                <c:pt idx="468">
                  <c:v>657.78407592102917</c:v>
                </c:pt>
                <c:pt idx="469">
                  <c:v>647.58713786164776</c:v>
                </c:pt>
                <c:pt idx="470">
                  <c:v>637.34331218219063</c:v>
                </c:pt>
                <c:pt idx="471">
                  <c:v>627.05311225793196</c:v>
                </c:pt>
                <c:pt idx="472">
                  <c:v>616.71704972055795</c:v>
                </c:pt>
                <c:pt idx="473">
                  <c:v>606.33563440341516</c:v>
                </c:pt>
                <c:pt idx="474">
                  <c:v>595.90937428800009</c:v>
                </c:pt>
                <c:pt idx="475">
                  <c:v>585.4387754516888</c:v>
                </c:pt>
                <c:pt idx="476">
                  <c:v>574.92434201670255</c:v>
                </c:pt>
                <c:pt idx="477">
                  <c:v>564.36657610030773</c:v>
                </c:pt>
                <c:pt idx="478">
                  <c:v>553.76597776624487</c:v>
                </c:pt>
                <c:pt idx="479">
                  <c:v>543.12304497738376</c:v>
                </c:pt>
                <c:pt idx="480">
                  <c:v>532.43827354959842</c:v>
                </c:pt>
                <c:pt idx="481">
                  <c:v>521.71215710685851</c:v>
                </c:pt>
                <c:pt idx="482">
                  <c:v>510.94518703752948</c:v>
                </c:pt>
                <c:pt idx="483">
                  <c:v>500.13785245187671</c:v>
                </c:pt>
                <c:pt idx="484">
                  <c:v>489.29064014076596</c:v>
                </c:pt>
                <c:pt idx="485">
                  <c:v>478.40403453555393</c:v>
                </c:pt>
                <c:pt idx="486">
                  <c:v>467.47851766916062</c:v>
                </c:pt>
                <c:pt idx="487">
                  <c:v>456.51456913831601</c:v>
                </c:pt>
                <c:pt idx="488">
                  <c:v>445.51266606697266</c:v>
                </c:pt>
                <c:pt idx="489">
                  <c:v>434.47328307087542</c:v>
                </c:pt>
                <c:pt idx="490">
                  <c:v>423.39689222327951</c:v>
                </c:pt>
                <c:pt idx="491">
                  <c:v>412.28396302180721</c:v>
                </c:pt>
                <c:pt idx="492">
                  <c:v>401.13496235643362</c:v>
                </c:pt>
                <c:pt idx="493">
                  <c:v>389.95035447859135</c:v>
                </c:pt>
                <c:pt idx="494">
                  <c:v>378.73060097138415</c:v>
                </c:pt>
                <c:pt idx="495">
                  <c:v>367.47616072089801</c:v>
                </c:pt>
                <c:pt idx="496">
                  <c:v>356.18748988859988</c:v>
                </c:pt>
                <c:pt idx="497">
                  <c:v>344.86504188481189</c:v>
                </c:pt>
                <c:pt idx="498">
                  <c:v>333.50926734325026</c:v>
                </c:pt>
                <c:pt idx="499">
                  <c:v>322.12061409661669</c:v>
                </c:pt>
                <c:pt idx="500">
                  <c:v>310.69952715323097</c:v>
                </c:pt>
                <c:pt idx="501">
                  <c:v>299.24644867469198</c:v>
                </c:pt>
                <c:pt idx="502">
                  <c:v>287.76181795455523</c:v>
                </c:pt>
                <c:pt idx="503">
                  <c:v>276.24607139801435</c:v>
                </c:pt>
                <c:pt idx="504">
                  <c:v>264.69964250257374</c:v>
                </c:pt>
                <c:pt idx="505">
                  <c:v>253.12296183969957</c:v>
                </c:pt>
                <c:pt idx="506">
                  <c:v>241.51645703743606</c:v>
                </c:pt>
                <c:pt idx="507">
                  <c:v>229.88055276397409</c:v>
                </c:pt>
                <c:pt idx="508">
                  <c:v>218.21567071215858</c:v>
                </c:pt>
                <c:pt idx="509">
                  <c:v>206.52222958492152</c:v>
                </c:pt>
                <c:pt idx="510">
                  <c:v>194.80064508162684</c:v>
                </c:pt>
                <c:pt idx="511">
                  <c:v>183.05132988531386</c:v>
                </c:pt>
                <c:pt idx="512">
                  <c:v>171.27469365082527</c:v>
                </c:pt>
                <c:pt idx="513">
                  <c:v>159.47114299380607</c:v>
                </c:pt>
                <c:pt idx="514">
                  <c:v>147.64108148055965</c:v>
                </c:pt>
                <c:pt idx="515">
                  <c:v>135.78490961874695</c:v>
                </c:pt>
                <c:pt idx="516">
                  <c:v>123.90302484891491</c:v>
                </c:pt>
                <c:pt idx="517">
                  <c:v>111.99582153684011</c:v>
                </c:pt>
                <c:pt idx="518">
                  <c:v>100.06369096667359</c:v>
                </c:pt>
                <c:pt idx="519">
                  <c:v>88.107021334872911</c:v>
                </c:pt>
                <c:pt idx="520">
                  <c:v>76.126197744907174</c:v>
                </c:pt>
                <c:pt idx="521">
                  <c:v>64.12160220272122</c:v>
                </c:pt>
                <c:pt idx="522">
                  <c:v>52.093613612944687</c:v>
                </c:pt>
                <c:pt idx="523">
                  <c:v>40.042607775832025</c:v>
                </c:pt>
                <c:pt idx="524">
                  <c:v>27.968957384919399</c:v>
                </c:pt>
                <c:pt idx="525">
                  <c:v>15.873032025384418</c:v>
                </c:pt>
                <c:pt idx="526">
                  <c:v>3.7551981730947972</c:v>
                </c:pt>
                <c:pt idx="527">
                  <c:v>-8.3841808056680662</c:v>
                </c:pt>
                <c:pt idx="528">
                  <c:v>-8.396330877259949</c:v>
                </c:pt>
                <c:pt idx="529">
                  <c:v>-8.4084809698571732</c:v>
                </c:pt>
                <c:pt idx="530">
                  <c:v>-8.4206310834593818</c:v>
                </c:pt>
                <c:pt idx="531">
                  <c:v>-8.4327812180662214</c:v>
                </c:pt>
                <c:pt idx="532">
                  <c:v>-8.4449313736773366</c:v>
                </c:pt>
                <c:pt idx="533">
                  <c:v>-8.457081550292374</c:v>
                </c:pt>
                <c:pt idx="534">
                  <c:v>-8.4692317479109764</c:v>
                </c:pt>
                <c:pt idx="535">
                  <c:v>-8.4813819665327905</c:v>
                </c:pt>
                <c:pt idx="536">
                  <c:v>-8.493532206157461</c:v>
                </c:pt>
                <c:pt idx="537">
                  <c:v>-8.5056824667846342</c:v>
                </c:pt>
                <c:pt idx="538">
                  <c:v>-8.5178327484139533</c:v>
                </c:pt>
                <c:pt idx="539">
                  <c:v>-8.5299830510450647</c:v>
                </c:pt>
                <c:pt idx="540">
                  <c:v>-8.5421333746776131</c:v>
                </c:pt>
                <c:pt idx="541">
                  <c:v>-8.5542837193112433</c:v>
                </c:pt>
                <c:pt idx="542">
                  <c:v>-8.5664340849456</c:v>
                </c:pt>
                <c:pt idx="543">
                  <c:v>-8.5785844715803297</c:v>
                </c:pt>
                <c:pt idx="544">
                  <c:v>-8.5907348792150771</c:v>
                </c:pt>
                <c:pt idx="545">
                  <c:v>-8.6028853078494869</c:v>
                </c:pt>
                <c:pt idx="546">
                  <c:v>-8.6150357574832039</c:v>
                </c:pt>
                <c:pt idx="547">
                  <c:v>-8.6271862281158747</c:v>
                </c:pt>
                <c:pt idx="548">
                  <c:v>-8.6393367197471438</c:v>
                </c:pt>
                <c:pt idx="549">
                  <c:v>-8.6514872323766561</c:v>
                </c:pt>
                <c:pt idx="550">
                  <c:v>-8.6636377660040562</c:v>
                </c:pt>
                <c:pt idx="551">
                  <c:v>-8.6757883206289907</c:v>
                </c:pt>
                <c:pt idx="552">
                  <c:v>-8.6879388962511026</c:v>
                </c:pt>
                <c:pt idx="553">
                  <c:v>-8.7000894928700401</c:v>
                </c:pt>
                <c:pt idx="554">
                  <c:v>-8.7122401104854461</c:v>
                </c:pt>
                <c:pt idx="555">
                  <c:v>-8.7243907490969654</c:v>
                </c:pt>
                <c:pt idx="556">
                  <c:v>-8.7365414087042446</c:v>
                </c:pt>
                <c:pt idx="557">
                  <c:v>-8.7486920893069282</c:v>
                </c:pt>
                <c:pt idx="558">
                  <c:v>-8.7608427909046629</c:v>
                </c:pt>
                <c:pt idx="559">
                  <c:v>-8.7729935134970916</c:v>
                </c:pt>
                <c:pt idx="560">
                  <c:v>-8.7851442570838607</c:v>
                </c:pt>
                <c:pt idx="561">
                  <c:v>-8.7972950216646151</c:v>
                </c:pt>
                <c:pt idx="562">
                  <c:v>-8.8094458072390012</c:v>
                </c:pt>
                <c:pt idx="563">
                  <c:v>-8.8215966138066637</c:v>
                </c:pt>
                <c:pt idx="564">
                  <c:v>-8.8337474413672457</c:v>
                </c:pt>
                <c:pt idx="565">
                  <c:v>-8.8458982899203953</c:v>
                </c:pt>
                <c:pt idx="566">
                  <c:v>-8.8580491594657556</c:v>
                </c:pt>
                <c:pt idx="567">
                  <c:v>-8.870200050002973</c:v>
                </c:pt>
                <c:pt idx="568">
                  <c:v>-8.8823509615316922</c:v>
                </c:pt>
                <c:pt idx="569">
                  <c:v>-8.8945018940515581</c:v>
                </c:pt>
                <c:pt idx="570">
                  <c:v>-8.9066528475622171</c:v>
                </c:pt>
                <c:pt idx="571">
                  <c:v>-8.9188038220633139</c:v>
                </c:pt>
                <c:pt idx="572">
                  <c:v>-8.9309548175544933</c:v>
                </c:pt>
                <c:pt idx="573">
                  <c:v>-8.9431058340354017</c:v>
                </c:pt>
                <c:pt idx="574">
                  <c:v>-8.9552568715056822</c:v>
                </c:pt>
                <c:pt idx="575">
                  <c:v>-8.9674079299649812</c:v>
                </c:pt>
                <c:pt idx="576">
                  <c:v>-8.9795590094129452</c:v>
                </c:pt>
                <c:pt idx="577">
                  <c:v>-8.9917101098492171</c:v>
                </c:pt>
                <c:pt idx="578">
                  <c:v>-9.0038612312734436</c:v>
                </c:pt>
                <c:pt idx="579">
                  <c:v>-9.0160123736852693</c:v>
                </c:pt>
                <c:pt idx="580">
                  <c:v>-9.0281635370843407</c:v>
                </c:pt>
                <c:pt idx="581">
                  <c:v>-9.0403147214703026</c:v>
                </c:pt>
                <c:pt idx="582">
                  <c:v>-9.0524659268427996</c:v>
                </c:pt>
                <c:pt idx="583">
                  <c:v>-9.0646171532014765</c:v>
                </c:pt>
                <c:pt idx="584">
                  <c:v>-9.0767684005459799</c:v>
                </c:pt>
                <c:pt idx="585">
                  <c:v>-9.0889196688759544</c:v>
                </c:pt>
                <c:pt idx="586">
                  <c:v>-9.1010709581910447</c:v>
                </c:pt>
                <c:pt idx="587">
                  <c:v>-9.1132222684908974</c:v>
                </c:pt>
                <c:pt idx="588">
                  <c:v>-9.1253735997751573</c:v>
                </c:pt>
                <c:pt idx="589">
                  <c:v>-9.1375249520434689</c:v>
                </c:pt>
                <c:pt idx="590">
                  <c:v>-9.1496763252954789</c:v>
                </c:pt>
                <c:pt idx="591">
                  <c:v>-9.161827719530832</c:v>
                </c:pt>
                <c:pt idx="592">
                  <c:v>-9.1739791347491728</c:v>
                </c:pt>
                <c:pt idx="593">
                  <c:v>-9.186130570950148</c:v>
                </c:pt>
                <c:pt idx="594">
                  <c:v>-9.1982820281334003</c:v>
                </c:pt>
                <c:pt idx="595">
                  <c:v>-9.2104335062985783</c:v>
                </c:pt>
                <c:pt idx="596">
                  <c:v>-9.2225850054453247</c:v>
                </c:pt>
                <c:pt idx="597">
                  <c:v>-9.2347365255732861</c:v>
                </c:pt>
                <c:pt idx="598">
                  <c:v>-9.2468880666821072</c:v>
                </c:pt>
                <c:pt idx="599">
                  <c:v>-9.2590396287714345</c:v>
                </c:pt>
                <c:pt idx="600">
                  <c:v>-9.2711912118409128</c:v>
                </c:pt>
                <c:pt idx="601">
                  <c:v>-9.2833428158901867</c:v>
                </c:pt>
                <c:pt idx="602">
                  <c:v>-9.2954944409189011</c:v>
                </c:pt>
                <c:pt idx="603">
                  <c:v>-9.3076460869267024</c:v>
                </c:pt>
                <c:pt idx="604">
                  <c:v>-9.3197977539132353</c:v>
                </c:pt>
                <c:pt idx="605">
                  <c:v>-9.3319494418781463</c:v>
                </c:pt>
                <c:pt idx="606">
                  <c:v>-9.3441011508210803</c:v>
                </c:pt>
                <c:pt idx="607">
                  <c:v>-9.3562528807416818</c:v>
                </c:pt>
                <c:pt idx="608">
                  <c:v>-9.3684046316395975</c:v>
                </c:pt>
                <c:pt idx="609">
                  <c:v>-9.3805564035144702</c:v>
                </c:pt>
                <c:pt idx="610">
                  <c:v>-9.3927081963659482</c:v>
                </c:pt>
                <c:pt idx="611">
                  <c:v>-9.4048600101936746</c:v>
                </c:pt>
                <c:pt idx="612">
                  <c:v>-9.4170118449972957</c:v>
                </c:pt>
                <c:pt idx="613">
                  <c:v>-9.4291637007764582</c:v>
                </c:pt>
                <c:pt idx="614">
                  <c:v>-9.4413155775308049</c:v>
                </c:pt>
                <c:pt idx="615">
                  <c:v>-9.4534674752599823</c:v>
                </c:pt>
                <c:pt idx="616">
                  <c:v>-9.4656193939636371</c:v>
                </c:pt>
                <c:pt idx="617">
                  <c:v>-9.477771333641412</c:v>
                </c:pt>
                <c:pt idx="618">
                  <c:v>-9.4899232942929554</c:v>
                </c:pt>
                <c:pt idx="619">
                  <c:v>-9.5020752759179103</c:v>
                </c:pt>
                <c:pt idx="620">
                  <c:v>-9.5142272785159232</c:v>
                </c:pt>
                <c:pt idx="621">
                  <c:v>-9.5263793020866387</c:v>
                </c:pt>
                <c:pt idx="622">
                  <c:v>-9.5385313466297035</c:v>
                </c:pt>
                <c:pt idx="623">
                  <c:v>-9.5506834121447621</c:v>
                </c:pt>
                <c:pt idx="624">
                  <c:v>-9.5628354986314594</c:v>
                </c:pt>
                <c:pt idx="625">
                  <c:v>-9.5749876060894419</c:v>
                </c:pt>
                <c:pt idx="626">
                  <c:v>-9.5871397345183542</c:v>
                </c:pt>
                <c:pt idx="627">
                  <c:v>-9.5992918839178412</c:v>
                </c:pt>
                <c:pt idx="628">
                  <c:v>-9.6114440542875492</c:v>
                </c:pt>
                <c:pt idx="629">
                  <c:v>-9.6235962456271249</c:v>
                </c:pt>
                <c:pt idx="630">
                  <c:v>-9.6357484579362112</c:v>
                </c:pt>
                <c:pt idx="631">
                  <c:v>-9.6479006912144545</c:v>
                </c:pt>
                <c:pt idx="632">
                  <c:v>-9.6600529454615014</c:v>
                </c:pt>
                <c:pt idx="633">
                  <c:v>-9.6722052206769948</c:v>
                </c:pt>
                <c:pt idx="634">
                  <c:v>-9.6843575168605831</c:v>
                </c:pt>
                <c:pt idx="635">
                  <c:v>-9.6965098340119091</c:v>
                </c:pt>
                <c:pt idx="636">
                  <c:v>-9.7086621721306194</c:v>
                </c:pt>
                <c:pt idx="637">
                  <c:v>-9.7208145312163587</c:v>
                </c:pt>
                <c:pt idx="638">
                  <c:v>-9.7329669112687736</c:v>
                </c:pt>
                <c:pt idx="639">
                  <c:v>-9.7451193122875086</c:v>
                </c:pt>
                <c:pt idx="640">
                  <c:v>-9.7572717342722104</c:v>
                </c:pt>
                <c:pt idx="641">
                  <c:v>-9.7694241772225237</c:v>
                </c:pt>
                <c:pt idx="642">
                  <c:v>-9.7815766411380931</c:v>
                </c:pt>
                <c:pt idx="643">
                  <c:v>-9.7937291260185653</c:v>
                </c:pt>
                <c:pt idx="644">
                  <c:v>-9.8058816318635849</c:v>
                </c:pt>
                <c:pt idx="645">
                  <c:v>-9.8180341586727984</c:v>
                </c:pt>
                <c:pt idx="646">
                  <c:v>-9.8301867064458506</c:v>
                </c:pt>
                <c:pt idx="647">
                  <c:v>-9.8423392751823862</c:v>
                </c:pt>
                <c:pt idx="648">
                  <c:v>-9.8544918648820516</c:v>
                </c:pt>
                <c:pt idx="649">
                  <c:v>-9.8666444755444918</c:v>
                </c:pt>
                <c:pt idx="650">
                  <c:v>-9.878797107169353</c:v>
                </c:pt>
                <c:pt idx="651">
                  <c:v>-9.8909497597562801</c:v>
                </c:pt>
                <c:pt idx="652">
                  <c:v>-9.9031024333049196</c:v>
                </c:pt>
                <c:pt idx="653">
                  <c:v>-9.9152551278149161</c:v>
                </c:pt>
                <c:pt idx="654">
                  <c:v>-9.9274078432859145</c:v>
                </c:pt>
                <c:pt idx="655">
                  <c:v>-9.9395605797175612</c:v>
                </c:pt>
                <c:pt idx="656">
                  <c:v>-9.951713337109501</c:v>
                </c:pt>
                <c:pt idx="657">
                  <c:v>-9.9638661154613803</c:v>
                </c:pt>
                <c:pt idx="658">
                  <c:v>-9.976018914772844</c:v>
                </c:pt>
                <c:pt idx="659">
                  <c:v>-9.9881717350435366</c:v>
                </c:pt>
                <c:pt idx="660">
                  <c:v>-10.000324576273105</c:v>
                </c:pt>
                <c:pt idx="661">
                  <c:v>-10.012477438461195</c:v>
                </c:pt>
                <c:pt idx="662">
                  <c:v>-10.024630321607452</c:v>
                </c:pt>
                <c:pt idx="663">
                  <c:v>-10.03678322571152</c:v>
                </c:pt>
                <c:pt idx="664">
                  <c:v>-10.048936150773047</c:v>
                </c:pt>
                <c:pt idx="665">
                  <c:v>-10.061089096791676</c:v>
                </c:pt>
                <c:pt idx="666">
                  <c:v>-10.073242063767054</c:v>
                </c:pt>
                <c:pt idx="667">
                  <c:v>-10.085395051698827</c:v>
                </c:pt>
                <c:pt idx="668">
                  <c:v>-10.097548060586638</c:v>
                </c:pt>
                <c:pt idx="669">
                  <c:v>-10.109701090430134</c:v>
                </c:pt>
                <c:pt idx="670">
                  <c:v>-10.121854141228962</c:v>
                </c:pt>
                <c:pt idx="671">
                  <c:v>-10.134007212982764</c:v>
                </c:pt>
                <c:pt idx="672">
                  <c:v>-10.14616030569119</c:v>
                </c:pt>
                <c:pt idx="673">
                  <c:v>-10.158313419353883</c:v>
                </c:pt>
                <c:pt idx="674">
                  <c:v>-10.170466553970488</c:v>
                </c:pt>
                <c:pt idx="675">
                  <c:v>-10.182619709540653</c:v>
                </c:pt>
                <c:pt idx="676">
                  <c:v>-10.194772886064021</c:v>
                </c:pt>
                <c:pt idx="677">
                  <c:v>-10.206926083540237</c:v>
                </c:pt>
                <c:pt idx="678">
                  <c:v>-10.21907930196895</c:v>
                </c:pt>
                <c:pt idx="679">
                  <c:v>-10.231232541349803</c:v>
                </c:pt>
                <c:pt idx="680">
                  <c:v>-10.243385801682441</c:v>
                </c:pt>
                <c:pt idx="681">
                  <c:v>-10.255539082966513</c:v>
                </c:pt>
                <c:pt idx="682">
                  <c:v>-10.267692385201661</c:v>
                </c:pt>
                <c:pt idx="683">
                  <c:v>-10.279845708387532</c:v>
                </c:pt>
                <c:pt idx="684">
                  <c:v>-10.291999052523771</c:v>
                </c:pt>
                <c:pt idx="685">
                  <c:v>-10.304152417610025</c:v>
                </c:pt>
                <c:pt idx="686">
                  <c:v>-10.316305803645939</c:v>
                </c:pt>
                <c:pt idx="687">
                  <c:v>-10.328459210631157</c:v>
                </c:pt>
                <c:pt idx="688">
                  <c:v>-10.340612638565327</c:v>
                </c:pt>
                <c:pt idx="689">
                  <c:v>-10.352766087448092</c:v>
                </c:pt>
                <c:pt idx="690">
                  <c:v>-10.3649195572791</c:v>
                </c:pt>
                <c:pt idx="691">
                  <c:v>-10.377073048057996</c:v>
                </c:pt>
                <c:pt idx="692">
                  <c:v>-10.389226559784424</c:v>
                </c:pt>
                <c:pt idx="693">
                  <c:v>-10.401380092458032</c:v>
                </c:pt>
                <c:pt idx="694">
                  <c:v>-10.413533646078465</c:v>
                </c:pt>
                <c:pt idx="695">
                  <c:v>-10.425687220645367</c:v>
                </c:pt>
                <c:pt idx="696">
                  <c:v>-10.437840816158385</c:v>
                </c:pt>
                <c:pt idx="697">
                  <c:v>-10.449994432617164</c:v>
                </c:pt>
                <c:pt idx="698">
                  <c:v>-10.46214807002135</c:v>
                </c:pt>
                <c:pt idx="699">
                  <c:v>-10.474301728370587</c:v>
                </c:pt>
                <c:pt idx="700">
                  <c:v>-10.486455407664524</c:v>
                </c:pt>
                <c:pt idx="701">
                  <c:v>-10.498609107902803</c:v>
                </c:pt>
                <c:pt idx="702">
                  <c:v>-10.510762829085072</c:v>
                </c:pt>
                <c:pt idx="703">
                  <c:v>-10.522916571210978</c:v>
                </c:pt>
                <c:pt idx="704">
                  <c:v>-10.535070334280164</c:v>
                </c:pt>
                <c:pt idx="705">
                  <c:v>-10.547224118292275</c:v>
                </c:pt>
                <c:pt idx="706">
                  <c:v>-10.559377923246959</c:v>
                </c:pt>
                <c:pt idx="707">
                  <c:v>-10.57153174914386</c:v>
                </c:pt>
                <c:pt idx="708">
                  <c:v>-10.583685595982624</c:v>
                </c:pt>
                <c:pt idx="709">
                  <c:v>-10.595839463762898</c:v>
                </c:pt>
                <c:pt idx="710">
                  <c:v>-10.607993352484327</c:v>
                </c:pt>
                <c:pt idx="711">
                  <c:v>-10.620147262146554</c:v>
                </c:pt>
                <c:pt idx="712">
                  <c:v>-10.632301192749228</c:v>
                </c:pt>
                <c:pt idx="713">
                  <c:v>-10.644455144291994</c:v>
                </c:pt>
                <c:pt idx="714">
                  <c:v>-10.656609116774497</c:v>
                </c:pt>
                <c:pt idx="715">
                  <c:v>-10.668763110196384</c:v>
                </c:pt>
                <c:pt idx="716">
                  <c:v>-10.680917124557299</c:v>
                </c:pt>
                <c:pt idx="717">
                  <c:v>-10.693071159856888</c:v>
                </c:pt>
                <c:pt idx="718">
                  <c:v>-10.705225216094798</c:v>
                </c:pt>
                <c:pt idx="719">
                  <c:v>-10.717379293270673</c:v>
                </c:pt>
                <c:pt idx="720">
                  <c:v>-10.729533391384159</c:v>
                </c:pt>
                <c:pt idx="721">
                  <c:v>-10.741687510434902</c:v>
                </c:pt>
                <c:pt idx="722">
                  <c:v>-10.753841650422547</c:v>
                </c:pt>
                <c:pt idx="723">
                  <c:v>-10.765995811346741</c:v>
                </c:pt>
                <c:pt idx="724">
                  <c:v>-10.77814999320713</c:v>
                </c:pt>
                <c:pt idx="725">
                  <c:v>-10.790304196003358</c:v>
                </c:pt>
                <c:pt idx="726">
                  <c:v>-10.802458419735071</c:v>
                </c:pt>
                <c:pt idx="727">
                  <c:v>-10.814612664401917</c:v>
                </c:pt>
                <c:pt idx="728">
                  <c:v>-10.826766930003538</c:v>
                </c:pt>
                <c:pt idx="729">
                  <c:v>-10.838921216539584</c:v>
                </c:pt>
                <c:pt idx="730">
                  <c:v>-10.851075524009696</c:v>
                </c:pt>
                <c:pt idx="731">
                  <c:v>-10.863229852413523</c:v>
                </c:pt>
                <c:pt idx="732">
                  <c:v>-10.875384201750711</c:v>
                </c:pt>
                <c:pt idx="733">
                  <c:v>-10.887538572020903</c:v>
                </c:pt>
                <c:pt idx="734">
                  <c:v>-10.899692963223746</c:v>
                </c:pt>
                <c:pt idx="735">
                  <c:v>-10.911847375358887</c:v>
                </c:pt>
                <c:pt idx="736">
                  <c:v>-10.92400180842597</c:v>
                </c:pt>
                <c:pt idx="737">
                  <c:v>-10.936156262424642</c:v>
                </c:pt>
                <c:pt idx="738">
                  <c:v>-10.948310737354548</c:v>
                </c:pt>
                <c:pt idx="739">
                  <c:v>-10.960465233215334</c:v>
                </c:pt>
                <c:pt idx="740">
                  <c:v>-10.972619750006647</c:v>
                </c:pt>
                <c:pt idx="741">
                  <c:v>-10.984774287728131</c:v>
                </c:pt>
                <c:pt idx="742">
                  <c:v>-10.996928846379433</c:v>
                </c:pt>
                <c:pt idx="743">
                  <c:v>-11.009083425960197</c:v>
                </c:pt>
                <c:pt idx="744">
                  <c:v>-11.021238026470071</c:v>
                </c:pt>
                <c:pt idx="745">
                  <c:v>-11.033392647908698</c:v>
                </c:pt>
                <c:pt idx="746">
                  <c:v>-11.045547290275726</c:v>
                </c:pt>
                <c:pt idx="747">
                  <c:v>-11.057701953570801</c:v>
                </c:pt>
                <c:pt idx="748">
                  <c:v>-11.069856637793567</c:v>
                </c:pt>
                <c:pt idx="749">
                  <c:v>-11.08201134294367</c:v>
                </c:pt>
                <c:pt idx="750">
                  <c:v>-11.094166069020757</c:v>
                </c:pt>
                <c:pt idx="751">
                  <c:v>-11.106320816024473</c:v>
                </c:pt>
                <c:pt idx="752">
                  <c:v>-11.118475583954464</c:v>
                </c:pt>
                <c:pt idx="753">
                  <c:v>-11.130630372810375</c:v>
                </c:pt>
                <c:pt idx="754">
                  <c:v>-11.142785182591853</c:v>
                </c:pt>
                <c:pt idx="755">
                  <c:v>-11.154940013298543</c:v>
                </c:pt>
                <c:pt idx="756">
                  <c:v>-11.167094864930091</c:v>
                </c:pt>
                <c:pt idx="757">
                  <c:v>-11.179249737486144</c:v>
                </c:pt>
                <c:pt idx="758">
                  <c:v>-11.191404630966346</c:v>
                </c:pt>
                <c:pt idx="759">
                  <c:v>-11.203559545370345</c:v>
                </c:pt>
                <c:pt idx="760">
                  <c:v>-11.215714480697784</c:v>
                </c:pt>
                <c:pt idx="761">
                  <c:v>-11.227869436948311</c:v>
                </c:pt>
                <c:pt idx="762">
                  <c:v>-11.240024414121571</c:v>
                </c:pt>
                <c:pt idx="763">
                  <c:v>-11.25217941221721</c:v>
                </c:pt>
                <c:pt idx="764">
                  <c:v>-11.264334431234873</c:v>
                </c:pt>
                <c:pt idx="765">
                  <c:v>-11.276489471174207</c:v>
                </c:pt>
                <c:pt idx="766">
                  <c:v>-11.288644532034857</c:v>
                </c:pt>
                <c:pt idx="767">
                  <c:v>-11.300799613816469</c:v>
                </c:pt>
                <c:pt idx="768">
                  <c:v>-11.312954716518689</c:v>
                </c:pt>
                <c:pt idx="769">
                  <c:v>-11.325109840141163</c:v>
                </c:pt>
                <c:pt idx="770">
                  <c:v>-11.337264984683538</c:v>
                </c:pt>
                <c:pt idx="771">
                  <c:v>-11.349420150145457</c:v>
                </c:pt>
                <c:pt idx="772">
                  <c:v>-11.361575336526569</c:v>
                </c:pt>
                <c:pt idx="773">
                  <c:v>-11.373730543826516</c:v>
                </c:pt>
                <c:pt idx="774">
                  <c:v>-11.385885772044947</c:v>
                </c:pt>
                <c:pt idx="775">
                  <c:v>-11.398041021181507</c:v>
                </c:pt>
                <c:pt idx="776">
                  <c:v>-11.410196291235842</c:v>
                </c:pt>
                <c:pt idx="777">
                  <c:v>-11.422351582207597</c:v>
                </c:pt>
                <c:pt idx="778">
                  <c:v>-11.434506894096419</c:v>
                </c:pt>
                <c:pt idx="779">
                  <c:v>-11.446662226901953</c:v>
                </c:pt>
                <c:pt idx="780">
                  <c:v>-11.458817580623846</c:v>
                </c:pt>
                <c:pt idx="781">
                  <c:v>-11.470972955261743</c:v>
                </c:pt>
                <c:pt idx="782">
                  <c:v>-11.48312835081529</c:v>
                </c:pt>
                <c:pt idx="783">
                  <c:v>-11.495283767284134</c:v>
                </c:pt>
                <c:pt idx="784">
                  <c:v>-11.507439204667918</c:v>
                </c:pt>
                <c:pt idx="785">
                  <c:v>-11.51959466296629</c:v>
                </c:pt>
                <c:pt idx="786">
                  <c:v>-11.531750142178895</c:v>
                </c:pt>
                <c:pt idx="787">
                  <c:v>-11.543905642305381</c:v>
                </c:pt>
                <c:pt idx="788">
                  <c:v>-11.556061163345392</c:v>
                </c:pt>
                <c:pt idx="789">
                  <c:v>-11.568216705298575</c:v>
                </c:pt>
                <c:pt idx="790">
                  <c:v>-11.580372268164574</c:v>
                </c:pt>
                <c:pt idx="791">
                  <c:v>-11.592527851943036</c:v>
                </c:pt>
                <c:pt idx="792">
                  <c:v>-11.604683456633607</c:v>
                </c:pt>
                <c:pt idx="793">
                  <c:v>-11.616839082235932</c:v>
                </c:pt>
                <c:pt idx="794">
                  <c:v>-11.62899472874966</c:v>
                </c:pt>
                <c:pt idx="795">
                  <c:v>-11.641150396174433</c:v>
                </c:pt>
                <c:pt idx="796">
                  <c:v>-11.6533060845099</c:v>
                </c:pt>
                <c:pt idx="797">
                  <c:v>-11.665461793755705</c:v>
                </c:pt>
                <c:pt idx="798">
                  <c:v>-11.677617523911495</c:v>
                </c:pt>
                <c:pt idx="799">
                  <c:v>-11.689773274976915</c:v>
                </c:pt>
                <c:pt idx="800">
                  <c:v>-11.70192904695161</c:v>
                </c:pt>
                <c:pt idx="801">
                  <c:v>-11.714084839835229</c:v>
                </c:pt>
                <c:pt idx="802">
                  <c:v>-11.726240653627416</c:v>
                </c:pt>
                <c:pt idx="803">
                  <c:v>-11.738396488327817</c:v>
                </c:pt>
                <c:pt idx="804">
                  <c:v>-11.750552343936079</c:v>
                </c:pt>
                <c:pt idx="805">
                  <c:v>-11.762708220451847</c:v>
                </c:pt>
                <c:pt idx="806">
                  <c:v>-11.774864117874767</c:v>
                </c:pt>
                <c:pt idx="807">
                  <c:v>-11.787020036204485</c:v>
                </c:pt>
                <c:pt idx="808">
                  <c:v>-11.799175975440646</c:v>
                </c:pt>
                <c:pt idx="809">
                  <c:v>-11.811331935582897</c:v>
                </c:pt>
                <c:pt idx="810">
                  <c:v>-11.823487916630885</c:v>
                </c:pt>
                <c:pt idx="811">
                  <c:v>-11.835643918584255</c:v>
                </c:pt>
                <c:pt idx="812">
                  <c:v>-11.847799941442652</c:v>
                </c:pt>
                <c:pt idx="813">
                  <c:v>-11.859955985205723</c:v>
                </c:pt>
                <c:pt idx="814">
                  <c:v>-11.872112049873113</c:v>
                </c:pt>
                <c:pt idx="815">
                  <c:v>-11.88426813544447</c:v>
                </c:pt>
                <c:pt idx="816">
                  <c:v>-11.896424241919439</c:v>
                </c:pt>
                <c:pt idx="817">
                  <c:v>-11.908580369297665</c:v>
                </c:pt>
                <c:pt idx="818">
                  <c:v>-11.920736517578794</c:v>
                </c:pt>
                <c:pt idx="819">
                  <c:v>-11.932892686762473</c:v>
                </c:pt>
                <c:pt idx="820">
                  <c:v>-11.945048876848348</c:v>
                </c:pt>
                <c:pt idx="821">
                  <c:v>-11.957205087836066</c:v>
                </c:pt>
                <c:pt idx="822">
                  <c:v>-11.96936131972527</c:v>
                </c:pt>
                <c:pt idx="823">
                  <c:v>-11.981517572515608</c:v>
                </c:pt>
                <c:pt idx="824">
                  <c:v>-11.993673846206727</c:v>
                </c:pt>
                <c:pt idx="825">
                  <c:v>-12.00583014079827</c:v>
                </c:pt>
                <c:pt idx="826">
                  <c:v>-12.017986456289886</c:v>
                </c:pt>
                <c:pt idx="827">
                  <c:v>-12.03014279268122</c:v>
                </c:pt>
                <c:pt idx="828">
                  <c:v>-12.042299149971917</c:v>
                </c:pt>
                <c:pt idx="829">
                  <c:v>-12.054455528161624</c:v>
                </c:pt>
                <c:pt idx="830">
                  <c:v>-12.066611927249987</c:v>
                </c:pt>
                <c:pt idx="831">
                  <c:v>-12.078768347236652</c:v>
                </c:pt>
                <c:pt idx="832">
                  <c:v>-12.090924788121264</c:v>
                </c:pt>
                <c:pt idx="833">
                  <c:v>-12.10308124990347</c:v>
                </c:pt>
                <c:pt idx="834">
                  <c:v>-12.115237732582916</c:v>
                </c:pt>
                <c:pt idx="835">
                  <c:v>-12.127394236159247</c:v>
                </c:pt>
                <c:pt idx="836">
                  <c:v>-12.139550760632112</c:v>
                </c:pt>
                <c:pt idx="837">
                  <c:v>-12.151707306001155</c:v>
                </c:pt>
                <c:pt idx="838">
                  <c:v>-12.163863872266022</c:v>
                </c:pt>
                <c:pt idx="839">
                  <c:v>-12.176020459426359</c:v>
                </c:pt>
                <c:pt idx="840">
                  <c:v>-12.188177067481814</c:v>
                </c:pt>
                <c:pt idx="841">
                  <c:v>-12.200333696432029</c:v>
                </c:pt>
                <c:pt idx="842">
                  <c:v>-12.212490346276653</c:v>
                </c:pt>
                <c:pt idx="843">
                  <c:v>-12.224647017015331</c:v>
                </c:pt>
                <c:pt idx="844">
                  <c:v>-12.236803708647709</c:v>
                </c:pt>
                <c:pt idx="845">
                  <c:v>-12.248960421173434</c:v>
                </c:pt>
                <c:pt idx="846">
                  <c:v>-12.261117154592153</c:v>
                </c:pt>
                <c:pt idx="847">
                  <c:v>-12.27327390890351</c:v>
                </c:pt>
                <c:pt idx="848">
                  <c:v>-12.285430684107153</c:v>
                </c:pt>
                <c:pt idx="849">
                  <c:v>-12.297587480202726</c:v>
                </c:pt>
                <c:pt idx="850">
                  <c:v>-12.309744297189875</c:v>
                </c:pt>
                <c:pt idx="851">
                  <c:v>-12.321901135068247</c:v>
                </c:pt>
                <c:pt idx="852">
                  <c:v>-12.334057993837488</c:v>
                </c:pt>
                <c:pt idx="853">
                  <c:v>-12.346214873497246</c:v>
                </c:pt>
                <c:pt idx="854">
                  <c:v>-12.358371774047164</c:v>
                </c:pt>
                <c:pt idx="855">
                  <c:v>-12.37052869548689</c:v>
                </c:pt>
                <c:pt idx="856">
                  <c:v>-12.382685637816069</c:v>
                </c:pt>
                <c:pt idx="857">
                  <c:v>-12.394842601034348</c:v>
                </c:pt>
                <c:pt idx="858">
                  <c:v>-12.406999585141374</c:v>
                </c:pt>
                <c:pt idx="859">
                  <c:v>-12.419156590136792</c:v>
                </c:pt>
                <c:pt idx="860">
                  <c:v>-12.431313616020248</c:v>
                </c:pt>
                <c:pt idx="861">
                  <c:v>-12.443470662791388</c:v>
                </c:pt>
                <c:pt idx="862">
                  <c:v>-12.455627730449857</c:v>
                </c:pt>
                <c:pt idx="863">
                  <c:v>-12.467784818995304</c:v>
                </c:pt>
                <c:pt idx="864">
                  <c:v>-12.479941928427372</c:v>
                </c:pt>
                <c:pt idx="865">
                  <c:v>-12.49209905874571</c:v>
                </c:pt>
                <c:pt idx="866">
                  <c:v>-12.504256209949963</c:v>
                </c:pt>
                <c:pt idx="867">
                  <c:v>-12.516413382039776</c:v>
                </c:pt>
                <c:pt idx="868">
                  <c:v>-12.528570575014797</c:v>
                </c:pt>
                <c:pt idx="869">
                  <c:v>-12.540727788874671</c:v>
                </c:pt>
                <c:pt idx="870">
                  <c:v>-12.552885023619044</c:v>
                </c:pt>
                <c:pt idx="871">
                  <c:v>-12.565042279247564</c:v>
                </c:pt>
                <c:pt idx="872">
                  <c:v>-12.577199555759874</c:v>
                </c:pt>
                <c:pt idx="873">
                  <c:v>-12.589356853155623</c:v>
                </c:pt>
                <c:pt idx="874">
                  <c:v>-12.601514171434456</c:v>
                </c:pt>
                <c:pt idx="875">
                  <c:v>-12.613671510596019</c:v>
                </c:pt>
                <c:pt idx="876">
                  <c:v>-12.625828870639959</c:v>
                </c:pt>
                <c:pt idx="877">
                  <c:v>-12.63798625156592</c:v>
                </c:pt>
                <c:pt idx="878">
                  <c:v>-12.650143653373551</c:v>
                </c:pt>
                <c:pt idx="879">
                  <c:v>-12.662301076062496</c:v>
                </c:pt>
                <c:pt idx="880">
                  <c:v>-12.674458519632402</c:v>
                </c:pt>
                <c:pt idx="881">
                  <c:v>-12.686615984082916</c:v>
                </c:pt>
                <c:pt idx="882">
                  <c:v>-12.698773469413684</c:v>
                </c:pt>
                <c:pt idx="883">
                  <c:v>-12.71093097562435</c:v>
                </c:pt>
                <c:pt idx="884">
                  <c:v>-12.723088502714564</c:v>
                </c:pt>
                <c:pt idx="885">
                  <c:v>-12.735246050683969</c:v>
                </c:pt>
                <c:pt idx="886">
                  <c:v>-12.747403619532212</c:v>
                </c:pt>
                <c:pt idx="887">
                  <c:v>-12.759561209258941</c:v>
                </c:pt>
                <c:pt idx="888">
                  <c:v>-12.771718819863798</c:v>
                </c:pt>
                <c:pt idx="889">
                  <c:v>-12.783876451346433</c:v>
                </c:pt>
                <c:pt idx="890">
                  <c:v>-12.796034103706491</c:v>
                </c:pt>
                <c:pt idx="891">
                  <c:v>-12.808191776943618</c:v>
                </c:pt>
                <c:pt idx="892">
                  <c:v>-12.82034947105746</c:v>
                </c:pt>
                <c:pt idx="893">
                  <c:v>-12.832507186047664</c:v>
                </c:pt>
                <c:pt idx="894">
                  <c:v>-12.844664921913877</c:v>
                </c:pt>
                <c:pt idx="895">
                  <c:v>-12.856822678655744</c:v>
                </c:pt>
                <c:pt idx="896">
                  <c:v>-12.868980456272912</c:v>
                </c:pt>
                <c:pt idx="897">
                  <c:v>-12.881138254765025</c:v>
                </c:pt>
                <c:pt idx="898">
                  <c:v>-12.893296074131731</c:v>
                </c:pt>
                <c:pt idx="899">
                  <c:v>-12.905453914372677</c:v>
                </c:pt>
                <c:pt idx="900">
                  <c:v>-12.917611775487508</c:v>
                </c:pt>
                <c:pt idx="901">
                  <c:v>-12.929769657475871</c:v>
                </c:pt>
                <c:pt idx="902">
                  <c:v>-12.941927560337412</c:v>
                </c:pt>
                <c:pt idx="903">
                  <c:v>-12.954085484071776</c:v>
                </c:pt>
                <c:pt idx="904">
                  <c:v>-12.966243428678611</c:v>
                </c:pt>
                <c:pt idx="905">
                  <c:v>-12.978401394157563</c:v>
                </c:pt>
                <c:pt idx="906">
                  <c:v>-12.990559380508278</c:v>
                </c:pt>
                <c:pt idx="907">
                  <c:v>-13.002717387730401</c:v>
                </c:pt>
                <c:pt idx="908">
                  <c:v>-13.01487541582358</c:v>
                </c:pt>
                <c:pt idx="909">
                  <c:v>-13.027033464787461</c:v>
                </c:pt>
                <c:pt idx="910">
                  <c:v>-13.03919153462169</c:v>
                </c:pt>
                <c:pt idx="911">
                  <c:v>-13.051349625325912</c:v>
                </c:pt>
                <c:pt idx="912">
                  <c:v>-13.063507736899775</c:v>
                </c:pt>
                <c:pt idx="913">
                  <c:v>-13.075665869342924</c:v>
                </c:pt>
                <c:pt idx="914">
                  <c:v>-13.087824022655006</c:v>
                </c:pt>
                <c:pt idx="915">
                  <c:v>-13.099982196835668</c:v>
                </c:pt>
                <c:pt idx="916">
                  <c:v>-13.112140391884557</c:v>
                </c:pt>
                <c:pt idx="917">
                  <c:v>-13.124298607801316</c:v>
                </c:pt>
                <c:pt idx="918">
                  <c:v>-13.136456844585595</c:v>
                </c:pt>
                <c:pt idx="919">
                  <c:v>-13.148615102237038</c:v>
                </c:pt>
                <c:pt idx="920">
                  <c:v>-13.160773380755291</c:v>
                </c:pt>
                <c:pt idx="921">
                  <c:v>-13.172931680140001</c:v>
                </c:pt>
                <c:pt idx="922">
                  <c:v>-13.185090000390815</c:v>
                </c:pt>
                <c:pt idx="923">
                  <c:v>-13.197248341507379</c:v>
                </c:pt>
                <c:pt idx="924">
                  <c:v>-13.209406703489339</c:v>
                </c:pt>
                <c:pt idx="925">
                  <c:v>-13.221565086336341</c:v>
                </c:pt>
                <c:pt idx="926">
                  <c:v>-13.233723490048032</c:v>
                </c:pt>
                <c:pt idx="927">
                  <c:v>-13.245881914624057</c:v>
                </c:pt>
                <c:pt idx="928">
                  <c:v>-13.258040360064065</c:v>
                </c:pt>
                <c:pt idx="929">
                  <c:v>-13.2701988263677</c:v>
                </c:pt>
                <c:pt idx="930">
                  <c:v>-13.282357313534609</c:v>
                </c:pt>
                <c:pt idx="931">
                  <c:v>-13.294515821564438</c:v>
                </c:pt>
                <c:pt idx="932">
                  <c:v>-13.306674350456834</c:v>
                </c:pt>
                <c:pt idx="933">
                  <c:v>-13.318832900211444</c:v>
                </c:pt>
                <c:pt idx="934">
                  <c:v>-13.330991470827913</c:v>
                </c:pt>
                <c:pt idx="935">
                  <c:v>-13.343150062305886</c:v>
                </c:pt>
                <c:pt idx="936">
                  <c:v>-13.355308674645013</c:v>
                </c:pt>
                <c:pt idx="937">
                  <c:v>-13.367467307844937</c:v>
                </c:pt>
                <c:pt idx="938">
                  <c:v>-13.379625961905306</c:v>
                </c:pt>
                <c:pt idx="939">
                  <c:v>-13.391784636825767</c:v>
                </c:pt>
                <c:pt idx="940">
                  <c:v>-13.403943332605966</c:v>
                </c:pt>
                <c:pt idx="941">
                  <c:v>-13.416102049245548</c:v>
                </c:pt>
                <c:pt idx="942">
                  <c:v>-13.428260786744161</c:v>
                </c:pt>
                <c:pt idx="943">
                  <c:v>-13.440419545101451</c:v>
                </c:pt>
                <c:pt idx="944">
                  <c:v>-13.452578324317063</c:v>
                </c:pt>
                <c:pt idx="945">
                  <c:v>-13.464737124390645</c:v>
                </c:pt>
                <c:pt idx="946">
                  <c:v>-13.476895945321843</c:v>
                </c:pt>
                <c:pt idx="947">
                  <c:v>-13.489054787110302</c:v>
                </c:pt>
                <c:pt idx="948">
                  <c:v>-13.50121364975567</c:v>
                </c:pt>
                <c:pt idx="949">
                  <c:v>-13.513372533257593</c:v>
                </c:pt>
                <c:pt idx="950">
                  <c:v>-13.525531437615717</c:v>
                </c:pt>
                <c:pt idx="951">
                  <c:v>-13.537690362829689</c:v>
                </c:pt>
                <c:pt idx="952">
                  <c:v>-13.549849308899155</c:v>
                </c:pt>
                <c:pt idx="953">
                  <c:v>-13.562008275823763</c:v>
                </c:pt>
                <c:pt idx="954">
                  <c:v>-13.574167263603156</c:v>
                </c:pt>
                <c:pt idx="955">
                  <c:v>-13.586326272236983</c:v>
                </c:pt>
                <c:pt idx="956">
                  <c:v>-13.598485301724891</c:v>
                </c:pt>
                <c:pt idx="957">
                  <c:v>-13.610644352066524</c:v>
                </c:pt>
                <c:pt idx="958">
                  <c:v>-13.62280342326153</c:v>
                </c:pt>
                <c:pt idx="959">
                  <c:v>-13.634962515309555</c:v>
                </c:pt>
                <c:pt idx="960">
                  <c:v>-13.647121628210245</c:v>
                </c:pt>
                <c:pt idx="961">
                  <c:v>-13.659280761963247</c:v>
                </c:pt>
                <c:pt idx="962">
                  <c:v>-13.671439916568207</c:v>
                </c:pt>
                <c:pt idx="963">
                  <c:v>-13.683599092024773</c:v>
                </c:pt>
                <c:pt idx="964">
                  <c:v>-13.695758288332589</c:v>
                </c:pt>
                <c:pt idx="965">
                  <c:v>-13.707917505491304</c:v>
                </c:pt>
                <c:pt idx="966">
                  <c:v>-13.720076743500563</c:v>
                </c:pt>
                <c:pt idx="967">
                  <c:v>-13.732236002360011</c:v>
                </c:pt>
                <c:pt idx="968">
                  <c:v>-13.744395282069297</c:v>
                </c:pt>
                <c:pt idx="969">
                  <c:v>-13.756554582628066</c:v>
                </c:pt>
                <c:pt idx="970">
                  <c:v>-13.768713904035966</c:v>
                </c:pt>
                <c:pt idx="971">
                  <c:v>-13.780873246292641</c:v>
                </c:pt>
                <c:pt idx="972">
                  <c:v>-13.79303260939774</c:v>
                </c:pt>
                <c:pt idx="973">
                  <c:v>-13.805191993350908</c:v>
                </c:pt>
                <c:pt idx="974">
                  <c:v>-13.817351398151791</c:v>
                </c:pt>
                <c:pt idx="975">
                  <c:v>-13.829510823800037</c:v>
                </c:pt>
                <c:pt idx="976">
                  <c:v>-13.841670270295291</c:v>
                </c:pt>
                <c:pt idx="977">
                  <c:v>-13.8538297376372</c:v>
                </c:pt>
                <c:pt idx="978">
                  <c:v>-13.865989225825411</c:v>
                </c:pt>
                <c:pt idx="979">
                  <c:v>-13.87814873485957</c:v>
                </c:pt>
                <c:pt idx="980">
                  <c:v>-13.890308264739325</c:v>
                </c:pt>
                <c:pt idx="981">
                  <c:v>-13.90246781546432</c:v>
                </c:pt>
                <c:pt idx="982">
                  <c:v>-13.914627387034203</c:v>
                </c:pt>
                <c:pt idx="983">
                  <c:v>-13.92678697944862</c:v>
                </c:pt>
                <c:pt idx="984">
                  <c:v>-13.938946592707218</c:v>
                </c:pt>
                <c:pt idx="985">
                  <c:v>-13.951106226809642</c:v>
                </c:pt>
                <c:pt idx="986">
                  <c:v>-13.963265881755541</c:v>
                </c:pt>
                <c:pt idx="987">
                  <c:v>-13.975425557544559</c:v>
                </c:pt>
                <c:pt idx="988">
                  <c:v>-13.987585254176345</c:v>
                </c:pt>
                <c:pt idx="989">
                  <c:v>-13.999744971650543</c:v>
                </c:pt>
                <c:pt idx="990">
                  <c:v>-14.011904709966801</c:v>
                </c:pt>
                <c:pt idx="991">
                  <c:v>-14.024064469124765</c:v>
                </c:pt>
                <c:pt idx="992">
                  <c:v>-14.036224249124082</c:v>
                </c:pt>
                <c:pt idx="993">
                  <c:v>-14.048384049964397</c:v>
                </c:pt>
                <c:pt idx="994">
                  <c:v>-14.060543871645359</c:v>
                </c:pt>
                <c:pt idx="995">
                  <c:v>-14.072703714166614</c:v>
                </c:pt>
                <c:pt idx="996">
                  <c:v>-14.084863577527807</c:v>
                </c:pt>
                <c:pt idx="997">
                  <c:v>-14.097023461728586</c:v>
                </c:pt>
                <c:pt idx="998">
                  <c:v>-14.109183366768596</c:v>
                </c:pt>
                <c:pt idx="999">
                  <c:v>-14.121343292647484</c:v>
                </c:pt>
                <c:pt idx="1000">
                  <c:v>-14.133503239364899</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1.6867946417028701E-4</c:v>
                </c:pt>
                <c:pt idx="2">
                  <c:v>1.3778666033564277E-3</c:v>
                </c:pt>
                <c:pt idx="3">
                  <c:v>4.7592685955614089E-3</c:v>
                </c:pt>
                <c:pt idx="4">
                  <c:v>1.0696728700282435E-2</c:v>
                </c:pt>
                <c:pt idx="5">
                  <c:v>1.9100698937304261E-2</c:v>
                </c:pt>
                <c:pt idx="6">
                  <c:v>2.9908799923673901E-2</c:v>
                </c:pt>
                <c:pt idx="7">
                  <c:v>4.3113304473870635E-2</c:v>
                </c:pt>
                <c:pt idx="8">
                  <c:v>5.873385637159502E-2</c:v>
                </c:pt>
                <c:pt idx="9">
                  <c:v>7.6790109195529518E-2</c:v>
                </c:pt>
                <c:pt idx="10">
                  <c:v>9.730172588321935E-2</c:v>
                </c:pt>
                <c:pt idx="11">
                  <c:v>0.12028553376894313</c:v>
                </c:pt>
                <c:pt idx="12">
                  <c:v>0.14575267136628073</c:v>
                </c:pt>
                <c:pt idx="13">
                  <c:v>0.17371142028311395</c:v>
                </c:pt>
                <c:pt idx="14">
                  <c:v>0.2041700454538935</c:v>
                </c:pt>
                <c:pt idx="15">
                  <c:v>0.23713679482329</c:v>
                </c:pt>
                <c:pt idx="16">
                  <c:v>0.27261989902886624</c:v>
                </c:pt>
                <c:pt idx="17">
                  <c:v>0.31062757108279598</c:v>
                </c:pt>
                <c:pt idx="18">
                  <c:v>0.3511680060526553</c:v>
                </c:pt>
                <c:pt idx="19">
                  <c:v>0.39424938074131233</c:v>
                </c:pt>
                <c:pt idx="20">
                  <c:v>0.43987985336594226</c:v>
                </c:pt>
                <c:pt idx="21">
                  <c:v>0.48806642086313745</c:v>
                </c:pt>
                <c:pt idx="22">
                  <c:v>0.53881377294937494</c:v>
                </c:pt>
                <c:pt idx="23">
                  <c:v>0.59212542949937219</c:v>
                </c:pt>
                <c:pt idx="24">
                  <c:v>0.64800488123332123</c:v>
                </c:pt>
                <c:pt idx="25">
                  <c:v>0.7064555895244955</c:v>
                </c:pt>
                <c:pt idx="26">
                  <c:v>0.76756493202172194</c:v>
                </c:pt>
                <c:pt idx="27">
                  <c:v>0.83142388806643408</c:v>
                </c:pt>
                <c:pt idx="28">
                  <c:v>0.89804303053635737</c:v>
                </c:pt>
                <c:pt idx="29">
                  <c:v>0.9674327205965737</c:v>
                </c:pt>
                <c:pt idx="30">
                  <c:v>1.0396030586289398</c:v>
                </c:pt>
                <c:pt idx="31">
                  <c:v>1.1145639000060388</c:v>
                </c:pt>
                <c:pt idx="32">
                  <c:v>1.192324869236089</c:v>
                </c:pt>
                <c:pt idx="33">
                  <c:v>1.2728953726931211</c:v>
                </c:pt>
                <c:pt idx="34">
                  <c:v>1.3562846101125992</c:v>
                </c:pt>
                <c:pt idx="35">
                  <c:v>1.4425015850048608</c:v>
                </c:pt>
                <c:pt idx="36">
                  <c:v>1.5315551141159496</c:v>
                </c:pt>
                <c:pt idx="37">
                  <c:v>1.6234538360465911</c:v>
                </c:pt>
                <c:pt idx="38">
                  <c:v>1.7182062191244394</c:v>
                </c:pt>
                <c:pt idx="39">
                  <c:v>1.8158205686116669</c:v>
                </c:pt>
                <c:pt idx="40">
                  <c:v>1.9163050333190148</c:v>
                </c:pt>
                <c:pt idx="41">
                  <c:v>2.0196666919779558</c:v>
                </c:pt>
                <c:pt idx="42">
                  <c:v>2.1259106321896044</c:v>
                </c:pt>
                <c:pt idx="43">
                  <c:v>2.2350408661774672</c:v>
                </c:pt>
                <c:pt idx="44">
                  <c:v>2.3470612534225044</c:v>
                </c:pt>
                <c:pt idx="45">
                  <c:v>2.4619755057277688</c:v>
                </c:pt>
                <c:pt idx="46">
                  <c:v>2.5797871919259481</c:v>
                </c:pt>
                <c:pt idx="47">
                  <c:v>2.7004997422628128</c:v>
                </c:pt>
                <c:pt idx="48">
                  <c:v>2.8241164524858768</c:v>
                </c:pt>
                <c:pt idx="49">
                  <c:v>2.9506404876643599</c:v>
                </c:pt>
                <c:pt idx="50">
                  <c:v>3.0800748857637452</c:v>
                </c:pt>
                <c:pt idx="51">
                  <c:v>3.2124225609957779</c:v>
                </c:pt>
                <c:pt idx="52">
                  <c:v>3.3476863069626095</c:v>
                </c:pt>
                <c:pt idx="53">
                  <c:v>3.4858687996119055</c:v>
                </c:pt>
                <c:pt idx="54">
                  <c:v>3.6269726000180786</c:v>
                </c:pt>
                <c:pt idx="55">
                  <c:v>3.7710001570033365</c:v>
                </c:pt>
                <c:pt idx="56">
                  <c:v>3.9179538096109381</c:v>
                </c:pt>
                <c:pt idx="57">
                  <c:v>4.0678357894418973</c:v>
                </c:pt>
                <c:pt idx="58">
                  <c:v>4.2206482228653401</c:v>
                </c:pt>
                <c:pt idx="59">
                  <c:v>4.376393133111816</c:v>
                </c:pt>
                <c:pt idx="60">
                  <c:v>4.5350724422580289</c:v>
                </c:pt>
                <c:pt idx="61">
                  <c:v>4.6966879731107376</c:v>
                </c:pt>
                <c:pt idx="62">
                  <c:v>4.8612414509968955</c:v>
                </c:pt>
                <c:pt idx="63">
                  <c:v>5.0287345054665273</c:v>
                </c:pt>
                <c:pt idx="64">
                  <c:v>5.1991686719142889</c:v>
                </c:pt>
                <c:pt idx="65">
                  <c:v>5.3725453931251854</c:v>
                </c:pt>
                <c:pt idx="66">
                  <c:v>5.5488660207494798</c:v>
                </c:pt>
                <c:pt idx="67">
                  <c:v>5.7281318167114366</c:v>
                </c:pt>
                <c:pt idx="68">
                  <c:v>5.9103439545561729</c:v>
                </c:pt>
                <c:pt idx="69">
                  <c:v>6.0955035207385837</c:v>
                </c:pt>
                <c:pt idx="70">
                  <c:v>6.2836115158579897</c:v>
                </c:pt>
                <c:pt idx="71">
                  <c:v>6.4746688558419034</c:v>
                </c:pt>
                <c:pt idx="72">
                  <c:v>6.668676373082052</c:v>
                </c:pt>
                <c:pt idx="73">
                  <c:v>6.8656348175255753</c:v>
                </c:pt>
                <c:pt idx="74">
                  <c:v>7.0655448577241051</c:v>
                </c:pt>
                <c:pt idx="75">
                  <c:v>7.268407081843252</c:v>
                </c:pt>
                <c:pt idx="76">
                  <c:v>7.4742219986348415</c:v>
                </c:pt>
                <c:pt idx="77">
                  <c:v>7.682990038374089</c:v>
                </c:pt>
                <c:pt idx="78">
                  <c:v>7.8947115537637584</c:v>
                </c:pt>
                <c:pt idx="79">
                  <c:v>8.1093868208071989</c:v>
                </c:pt>
                <c:pt idx="80">
                  <c:v>8.3270160396520563</c:v>
                </c:pt>
                <c:pt idx="81">
                  <c:v>8.5475983527444637</c:v>
                </c:pt>
                <c:pt idx="82">
                  <c:v>8.7711308585650425</c:v>
                </c:pt>
                <c:pt idx="83">
                  <c:v>8.9976095895689987</c:v>
                </c:pt>
                <c:pt idx="84">
                  <c:v>9.2270304946556188</c:v>
                </c:pt>
                <c:pt idx="85">
                  <c:v>9.4593894402068042</c:v>
                </c:pt>
                <c:pt idx="86">
                  <c:v>9.694682211099666</c:v>
                </c:pt>
                <c:pt idx="87">
                  <c:v>9.932904511694618</c:v>
                </c:pt>
                <c:pt idx="88">
                  <c:v>10.174051966800295</c:v>
                </c:pt>
                <c:pt idx="89">
                  <c:v>10.418120122616561</c:v>
                </c:pt>
                <c:pt idx="90">
                  <c:v>10.665104447656761</c:v>
                </c:pt>
                <c:pt idx="91">
                  <c:v>10.914999895528828</c:v>
                </c:pt>
                <c:pt idx="92">
                  <c:v>11.167800465943888</c:v>
                </c:pt>
                <c:pt idx="93">
                  <c:v>11.423499641576758</c:v>
                </c:pt>
                <c:pt idx="94">
                  <c:v>11.682090826732267</c:v>
                </c:pt>
                <c:pt idx="95">
                  <c:v>11.943567348315517</c:v>
                </c:pt>
                <c:pt idx="96">
                  <c:v>12.207922456785278</c:v>
                </c:pt>
                <c:pt idx="97">
                  <c:v>12.475149327091396</c:v>
                </c:pt>
                <c:pt idx="98">
                  <c:v>12.745241059596967</c:v>
                </c:pt>
                <c:pt idx="99">
                  <c:v>13.018190680986047</c:v>
                </c:pt>
                <c:pt idx="100">
                  <c:v>13.293991145157582</c:v>
                </c:pt>
                <c:pt idx="101">
                  <c:v>13.572635263449058</c:v>
                </c:pt>
                <c:pt idx="102">
                  <c:v>13.854115634594596</c:v>
                </c:pt>
                <c:pt idx="103">
                  <c:v>14.138424715942721</c:v>
                </c:pt>
                <c:pt idx="104">
                  <c:v>14.425554894926286</c:v>
                </c:pt>
                <c:pt idx="105">
                  <c:v>14.715498489917469</c:v>
                </c:pt>
                <c:pt idx="106">
                  <c:v>15.008247751072183</c:v>
                </c:pt>
                <c:pt idx="107">
                  <c:v>15.303794861164365</c:v>
                </c:pt>
                <c:pt idx="108">
                  <c:v>15.602131936410572</c:v>
                </c:pt>
                <c:pt idx="109">
                  <c:v>15.903251027285323</c:v>
                </c:pt>
                <c:pt idx="110">
                  <c:v>16.207144119327548</c:v>
                </c:pt>
                <c:pt idx="111">
                  <c:v>16.513803953650264</c:v>
                </c:pt>
                <c:pt idx="112">
                  <c:v>16.823224850069835</c:v>
                </c:pt>
                <c:pt idx="113">
                  <c:v>17.135401891113901</c:v>
                </c:pt>
                <c:pt idx="114">
                  <c:v>17.450330103283918</c:v>
                </c:pt>
                <c:pt idx="115">
                  <c:v>17.768004457603176</c:v>
                </c:pt>
                <c:pt idx="116">
                  <c:v>18.088419870159964</c:v>
                </c:pt>
                <c:pt idx="117">
                  <c:v>18.411571202646023</c:v>
                </c:pt>
                <c:pt idx="118">
                  <c:v>18.737453262890561</c:v>
                </c:pt>
                <c:pt idx="119">
                  <c:v>19.066060805389952</c:v>
                </c:pt>
                <c:pt idx="120">
                  <c:v>19.397388531833357</c:v>
                </c:pt>
                <c:pt idx="121">
                  <c:v>19.731429722407981</c:v>
                </c:pt>
                <c:pt idx="122">
                  <c:v>20.068174863145309</c:v>
                </c:pt>
                <c:pt idx="123">
                  <c:v>20.407613011465767</c:v>
                </c:pt>
                <c:pt idx="124">
                  <c:v>20.749733165854611</c:v>
                </c:pt>
                <c:pt idx="125">
                  <c:v>21.094524266726673</c:v>
                </c:pt>
                <c:pt idx="126">
                  <c:v>21.441975197284663</c:v>
                </c:pt>
                <c:pt idx="127">
                  <c:v>21.792074784371191</c:v>
                </c:pt>
                <c:pt idx="128">
                  <c:v>22.144811799314695</c:v>
                </c:pt>
                <c:pt idx="129">
                  <c:v>22.500174958769378</c:v>
                </c:pt>
                <c:pt idx="130">
                  <c:v>22.858152925549334</c:v>
                </c:pt>
                <c:pt idx="131">
                  <c:v>23.218733948615856</c:v>
                </c:pt>
                <c:pt idx="132">
                  <c:v>23.581905502143922</c:v>
                </c:pt>
                <c:pt idx="133">
                  <c:v>23.947654646289035</c:v>
                </c:pt>
                <c:pt idx="134">
                  <c:v>24.315968388912164</c:v>
                </c:pt>
                <c:pt idx="135">
                  <c:v>24.686833686482483</c:v>
                </c:pt>
                <c:pt idx="136">
                  <c:v>25.060237444973971</c:v>
                </c:pt>
                <c:pt idx="137">
                  <c:v>25.436166520755975</c:v>
                </c:pt>
                <c:pt idx="138">
                  <c:v>25.814607721477799</c:v>
                </c:pt>
                <c:pt idx="139">
                  <c:v>26.195547806947424</c:v>
                </c:pt>
                <c:pt idx="140">
                  <c:v>26.578973490004401</c:v>
                </c:pt>
                <c:pt idx="141">
                  <c:v>26.964867096001768</c:v>
                </c:pt>
                <c:pt idx="142">
                  <c:v>27.353202212820207</c:v>
                </c:pt>
                <c:pt idx="143">
                  <c:v>27.743948025011814</c:v>
                </c:pt>
                <c:pt idx="144">
                  <c:v>28.137073658067187</c:v>
                </c:pt>
                <c:pt idx="145">
                  <c:v>28.532548180585078</c:v>
                </c:pt>
                <c:pt idx="146">
                  <c:v>28.930340606419271</c:v>
                </c:pt>
                <c:pt idx="147">
                  <c:v>29.330419896802745</c:v>
                </c:pt>
                <c:pt idx="148">
                  <c:v>29.732754962449121</c:v>
                </c:pt>
                <c:pt idx="149">
                  <c:v>30.137314665631489</c:v>
                </c:pt>
                <c:pt idx="150">
                  <c:v>30.544067822238546</c:v>
                </c:pt>
                <c:pt idx="151">
                  <c:v>30.952983203808135</c:v>
                </c:pt>
                <c:pt idx="152">
                  <c:v>31.364029539538148</c:v>
                </c:pt>
                <c:pt idx="153">
                  <c:v>31.77717551827482</c:v>
                </c:pt>
                <c:pt idx="154">
                  <c:v>32.192389790478401</c:v>
                </c:pt>
                <c:pt idx="155">
                  <c:v>32.609640970166183</c:v>
                </c:pt>
                <c:pt idx="156">
                  <c:v>33.028876898950521</c:v>
                </c:pt>
                <c:pt idx="157">
                  <c:v>33.450003881967078</c:v>
                </c:pt>
                <c:pt idx="158">
                  <c:v>33.872907418088587</c:v>
                </c:pt>
                <c:pt idx="159">
                  <c:v>34.297472963968247</c:v>
                </c:pt>
                <c:pt idx="160">
                  <c:v>34.723585947276248</c:v>
                </c:pt>
                <c:pt idx="161">
                  <c:v>35.15110534544965</c:v>
                </c:pt>
                <c:pt idx="162">
                  <c:v>35.579837250520974</c:v>
                </c:pt>
                <c:pt idx="163">
                  <c:v>36.009563864494062</c:v>
                </c:pt>
                <c:pt idx="164">
                  <c:v>36.440072521860117</c:v>
                </c:pt>
                <c:pt idx="165">
                  <c:v>36.871178501785629</c:v>
                </c:pt>
                <c:pt idx="166">
                  <c:v>37.302747829105037</c:v>
                </c:pt>
                <c:pt idx="167">
                  <c:v>37.734652698026238</c:v>
                </c:pt>
                <c:pt idx="168">
                  <c:v>38.166740838042024</c:v>
                </c:pt>
                <c:pt idx="169">
                  <c:v>38.598815008234865</c:v>
                </c:pt>
                <c:pt idx="170">
                  <c:v>39.030626487749061</c:v>
                </c:pt>
                <c:pt idx="171">
                  <c:v>39.462001240201438</c:v>
                </c:pt>
                <c:pt idx="172">
                  <c:v>39.892896164435427</c:v>
                </c:pt>
                <c:pt idx="173">
                  <c:v>40.323312640703321</c:v>
                </c:pt>
                <c:pt idx="174">
                  <c:v>40.753252043573312</c:v>
                </c:pt>
                <c:pt idx="175">
                  <c:v>41.182715741961267</c:v>
                </c:pt>
                <c:pt idx="176">
                  <c:v>41.61170509916235</c:v>
                </c:pt>
                <c:pt idx="177">
                  <c:v>42.040221472882365</c:v>
                </c:pt>
                <c:pt idx="178">
                  <c:v>42.468266215268905</c:v>
                </c:pt>
                <c:pt idx="179">
                  <c:v>42.895840672942278</c:v>
                </c:pt>
                <c:pt idx="180">
                  <c:v>43.322946187026226</c:v>
                </c:pt>
                <c:pt idx="181">
                  <c:v>43.74958409317842</c:v>
                </c:pt>
                <c:pt idx="182">
                  <c:v>44.175755721620753</c:v>
                </c:pt>
                <c:pt idx="183">
                  <c:v>44.601462397169392</c:v>
                </c:pt>
                <c:pt idx="184">
                  <c:v>45.026705439264674</c:v>
                </c:pt>
                <c:pt idx="185">
                  <c:v>45.451486162000755</c:v>
                </c:pt>
                <c:pt idx="186">
                  <c:v>45.875805874155056</c:v>
                </c:pt>
                <c:pt idx="187">
                  <c:v>46.299665879217521</c:v>
                </c:pt>
                <c:pt idx="188">
                  <c:v>46.723067475419676</c:v>
                </c:pt>
                <c:pt idx="189">
                  <c:v>47.146011955763463</c:v>
                </c:pt>
                <c:pt idx="190">
                  <c:v>47.568500608049902</c:v>
                </c:pt>
                <c:pt idx="191">
                  <c:v>47.99053471490754</c:v>
                </c:pt>
                <c:pt idx="192">
                  <c:v>48.412115553820719</c:v>
                </c:pt>
                <c:pt idx="193">
                  <c:v>48.833244397157628</c:v>
                </c:pt>
                <c:pt idx="194">
                  <c:v>49.253922512198194</c:v>
                </c:pt>
                <c:pt idx="195">
                  <c:v>49.674151161161745</c:v>
                </c:pt>
                <c:pt idx="196">
                  <c:v>50.093931601234516</c:v>
                </c:pt>
                <c:pt idx="197">
                  <c:v>50.513265084596959</c:v>
                </c:pt>
                <c:pt idx="198">
                  <c:v>50.93215285845087</c:v>
                </c:pt>
                <c:pt idx="199">
                  <c:v>51.350596165046298</c:v>
                </c:pt>
                <c:pt idx="200">
                  <c:v>51.768596241708345</c:v>
                </c:pt>
                <c:pt idx="201">
                  <c:v>55.924314820102936</c:v>
                </c:pt>
                <c:pt idx="202">
                  <c:v>60.036503136767664</c:v>
                </c:pt>
                <c:pt idx="203">
                  <c:v>64.106353587857626</c:v>
                </c:pt>
                <c:pt idx="204">
                  <c:v>68.13501263645631</c:v>
                </c:pt>
                <c:pt idx="205">
                  <c:v>72.123583199633828</c:v>
                </c:pt>
                <c:pt idx="206">
                  <c:v>76.073126881591008</c:v>
                </c:pt>
                <c:pt idx="207">
                  <c:v>79.984666064716151</c:v>
                </c:pt>
                <c:pt idx="208">
                  <c:v>83.859185869330531</c:v>
                </c:pt>
                <c:pt idx="209">
                  <c:v>87.697635991952595</c:v>
                </c:pt>
                <c:pt idx="210">
                  <c:v>91.500932431059795</c:v>
                </c:pt>
                <c:pt idx="211">
                  <c:v>95.269959108558652</c:v>
                </c:pt>
                <c:pt idx="212">
                  <c:v>99.005569394480133</c:v>
                </c:pt>
                <c:pt idx="213">
                  <c:v>102.70858754179021</c:v>
                </c:pt>
                <c:pt idx="214">
                  <c:v>106.37981003763736</c:v>
                </c:pt>
                <c:pt idx="215">
                  <c:v>110.02000687684416</c:v>
                </c:pt>
                <c:pt idx="216">
                  <c:v>113.62992276298239</c:v>
                </c:pt>
                <c:pt idx="217">
                  <c:v>117.2102782419465</c:v>
                </c:pt>
                <c:pt idx="218">
                  <c:v>120.76177077255396</c:v>
                </c:pt>
                <c:pt idx="219">
                  <c:v>124.28507573834855</c:v>
                </c:pt>
                <c:pt idx="220">
                  <c:v>127.78084740446224</c:v>
                </c:pt>
                <c:pt idx="221">
                  <c:v>131.24971982309762</c:v>
                </c:pt>
                <c:pt idx="222">
                  <c:v>134.69230769092582</c:v>
                </c:pt>
                <c:pt idx="223">
                  <c:v>138.10920716144898</c:v>
                </c:pt>
                <c:pt idx="224">
                  <c:v>141.50099661515287</c:v>
                </c:pt>
                <c:pt idx="225">
                  <c:v>144.8682373900692</c:v>
                </c:pt>
                <c:pt idx="226">
                  <c:v>148.21147447517836</c:v>
                </c:pt>
                <c:pt idx="227">
                  <c:v>151.53123716891076</c:v>
                </c:pt>
                <c:pt idx="228">
                  <c:v>154.82803970484471</c:v>
                </c:pt>
                <c:pt idx="229">
                  <c:v>158.1023818465533</c:v>
                </c:pt>
                <c:pt idx="230">
                  <c:v>161.35474945341693</c:v>
                </c:pt>
                <c:pt idx="231">
                  <c:v>164.58561501909432</c:v>
                </c:pt>
                <c:pt idx="232">
                  <c:v>167.79543818423011</c:v>
                </c:pt>
                <c:pt idx="233">
                  <c:v>170.98466622487067</c:v>
                </c:pt>
                <c:pt idx="234">
                  <c:v>174.15373451796293</c:v>
                </c:pt>
                <c:pt idx="235">
                  <c:v>177.30306698521932</c:v>
                </c:pt>
                <c:pt idx="236">
                  <c:v>180.43307651654922</c:v>
                </c:pt>
                <c:pt idx="237">
                  <c:v>183.54416537417913</c:v>
                </c:pt>
                <c:pt idx="238">
                  <c:v>186.63672557851208</c:v>
                </c:pt>
                <c:pt idx="239">
                  <c:v>189.71113927670999</c:v>
                </c:pt>
                <c:pt idx="240">
                  <c:v>192.767779094921</c:v>
                </c:pt>
                <c:pt idx="241">
                  <c:v>195.80700847501618</c:v>
                </c:pt>
                <c:pt idx="242">
                  <c:v>198.82918199664613</c:v>
                </c:pt>
                <c:pt idx="243">
                  <c:v>201.8346456853792</c:v>
                </c:pt>
                <c:pt idx="244">
                  <c:v>204.82373730763555</c:v>
                </c:pt>
                <c:pt idx="245">
                  <c:v>207.79678665308921</c:v>
                </c:pt>
                <c:pt idx="246">
                  <c:v>210.75411580516919</c:v>
                </c:pt>
                <c:pt idx="247">
                  <c:v>213.69603940025385</c:v>
                </c:pt>
                <c:pt idx="248">
                  <c:v>216.62286487611706</c:v>
                </c:pt>
                <c:pt idx="249">
                  <c:v>219.53489271015258</c:v>
                </c:pt>
                <c:pt idx="250">
                  <c:v>222.43241664787175</c:v>
                </c:pt>
                <c:pt idx="251">
                  <c:v>225.31572392214173</c:v>
                </c:pt>
                <c:pt idx="252">
                  <c:v>228.18509546360391</c:v>
                </c:pt>
                <c:pt idx="253">
                  <c:v>231.04080610268767</c:v>
                </c:pt>
                <c:pt idx="254">
                  <c:v>233.8831247636104</c:v>
                </c:pt>
                <c:pt idx="255">
                  <c:v>236.71231465073345</c:v>
                </c:pt>
                <c:pt idx="256">
                  <c:v>239.52863342762194</c:v>
                </c:pt>
                <c:pt idx="257">
                  <c:v>242.33233338913752</c:v>
                </c:pt>
                <c:pt idx="258">
                  <c:v>245.12366162687448</c:v>
                </c:pt>
                <c:pt idx="259">
                  <c:v>247.90286018823255</c:v>
                </c:pt>
                <c:pt idx="260">
                  <c:v>250.67016622940301</c:v>
                </c:pt>
                <c:pt idx="261">
                  <c:v>253.42581216252984</c:v>
                </c:pt>
                <c:pt idx="262">
                  <c:v>256.17002579729274</c:v>
                </c:pt>
                <c:pt idx="263">
                  <c:v>258.90303047714542</c:v>
                </c:pt>
                <c:pt idx="264">
                  <c:v>261.62504521042905</c:v>
                </c:pt>
                <c:pt idx="265">
                  <c:v>264.3362847965692</c:v>
                </c:pt>
                <c:pt idx="266">
                  <c:v>267.03695994755236</c:v>
                </c:pt>
                <c:pt idx="267">
                  <c:v>269.72727740486681</c:v>
                </c:pt>
                <c:pt idx="268">
                  <c:v>272.40744005208302</c:v>
                </c:pt>
                <c:pt idx="269">
                  <c:v>275.0776470232372</c:v>
                </c:pt>
                <c:pt idx="270">
                  <c:v>277.7380938071737</c:v>
                </c:pt>
                <c:pt idx="271">
                  <c:v>280.38897234799111</c:v>
                </c:pt>
                <c:pt idx="272">
                  <c:v>283.03047114172904</c:v>
                </c:pt>
                <c:pt idx="273">
                  <c:v>285.66277532942388</c:v>
                </c:pt>
                <c:pt idx="274">
                  <c:v>288.28606678665346</c:v>
                </c:pt>
                <c:pt idx="275">
                  <c:v>290.90052420968254</c:v>
                </c:pt>
                <c:pt idx="276">
                  <c:v>293.50632319831357</c:v>
                </c:pt>
                <c:pt idx="277">
                  <c:v>296.10363633553976</c:v>
                </c:pt>
                <c:pt idx="278">
                  <c:v>298.69263326408969</c:v>
                </c:pt>
                <c:pt idx="279">
                  <c:v>301.27348075994576</c:v>
                </c:pt>
                <c:pt idx="280">
                  <c:v>303.84634280291232</c:v>
                </c:pt>
                <c:pt idx="281">
                  <c:v>306.41138064430106</c:v>
                </c:pt>
                <c:pt idx="282">
                  <c:v>308.96875287179563</c:v>
                </c:pt>
                <c:pt idx="283">
                  <c:v>311.51861547154959</c:v>
                </c:pt>
                <c:pt idx="284">
                  <c:v>314.06112188756532</c:v>
                </c:pt>
                <c:pt idx="285">
                  <c:v>316.59642307839465</c:v>
                </c:pt>
                <c:pt idx="286">
                  <c:v>319.12466757119455</c:v>
                </c:pt>
                <c:pt idx="287">
                  <c:v>321.64600151316409</c:v>
                </c:pt>
                <c:pt idx="288">
                  <c:v>324.16056872038234</c:v>
                </c:pt>
                <c:pt idx="289">
                  <c:v>326.66851072405819</c:v>
                </c:pt>
                <c:pt idx="290">
                  <c:v>329.16996681419602</c:v>
                </c:pt>
                <c:pt idx="291">
                  <c:v>331.66507408067361</c:v>
                </c:pt>
                <c:pt idx="292">
                  <c:v>334.15396745171944</c:v>
                </c:pt>
                <c:pt idx="293">
                  <c:v>336.63677972976859</c:v>
                </c:pt>
                <c:pt idx="294">
                  <c:v>339.11364162466725</c:v>
                </c:pt>
                <c:pt idx="295">
                  <c:v>341.58468178418667</c:v>
                </c:pt>
                <c:pt idx="296">
                  <c:v>344.05002682179702</c:v>
                </c:pt>
                <c:pt idx="297">
                  <c:v>346.50980134164212</c:v>
                </c:pt>
                <c:pt idx="298">
                  <c:v>348.96412796064402</c:v>
                </c:pt>
                <c:pt idx="299">
                  <c:v>351.41312732765647</c:v>
                </c:pt>
                <c:pt idx="300">
                  <c:v>353.85691813957249</c:v>
                </c:pt>
                <c:pt idx="301">
                  <c:v>356.29561715428082</c:v>
                </c:pt>
                <c:pt idx="302">
                  <c:v>358.72933920035098</c:v>
                </c:pt>
                <c:pt idx="303">
                  <c:v>361.15819718331448</c:v>
                </c:pt>
                <c:pt idx="304">
                  <c:v>363.58230208839478</c:v>
                </c:pt>
                <c:pt idx="305">
                  <c:v>366.00176297952436</c:v>
                </c:pt>
                <c:pt idx="306">
                  <c:v>368.41668699447291</c:v>
                </c:pt>
                <c:pt idx="307">
                  <c:v>370.8271793358947</c:v>
                </c:pt>
                <c:pt idx="308">
                  <c:v>373.23334325809049</c:v>
                </c:pt>
                <c:pt idx="309">
                  <c:v>375.6352800492628</c:v>
                </c:pt>
                <c:pt idx="310">
                  <c:v>378.03308900903301</c:v>
                </c:pt>
                <c:pt idx="311">
                  <c:v>380.42686742097465</c:v>
                </c:pt>
                <c:pt idx="312">
                  <c:v>382.81671051991015</c:v>
                </c:pt>
                <c:pt idx="313">
                  <c:v>385.20271145371089</c:v>
                </c:pt>
                <c:pt idx="314">
                  <c:v>387.58496123933907</c:v>
                </c:pt>
                <c:pt idx="315">
                  <c:v>389.96354871287446</c:v>
                </c:pt>
                <c:pt idx="316">
                  <c:v>392.33856047327907</c:v>
                </c:pt>
                <c:pt idx="317">
                  <c:v>394.71008081967426</c:v>
                </c:pt>
                <c:pt idx="318">
                  <c:v>397.07819168193521</c:v>
                </c:pt>
                <c:pt idx="319">
                  <c:v>399.44297254445394</c:v>
                </c:pt>
                <c:pt idx="320">
                  <c:v>401.80450036298294</c:v>
                </c:pt>
                <c:pt idx="321">
                  <c:v>404.16284947455239</c:v>
                </c:pt>
                <c:pt idx="322">
                  <c:v>406.51809150055618</c:v>
                </c:pt>
                <c:pt idx="323">
                  <c:v>408.87029524322958</c:v>
                </c:pt>
                <c:pt idx="324">
                  <c:v>411.21952657589355</c:v>
                </c:pt>
                <c:pt idx="325">
                  <c:v>413.56584832752299</c:v>
                </c:pt>
                <c:pt idx="326">
                  <c:v>415.90932016240396</c:v>
                </c:pt>
                <c:pt idx="327">
                  <c:v>418.24999845587939</c:v>
                </c:pt>
                <c:pt idx="328">
                  <c:v>420.58793616743759</c:v>
                </c:pt>
                <c:pt idx="329">
                  <c:v>422.92318271266691</c:v>
                </c:pt>
                <c:pt idx="330">
                  <c:v>425.25578383587276</c:v>
                </c:pt>
                <c:pt idx="331">
                  <c:v>427.58578148541301</c:v>
                </c:pt>
                <c:pt idx="332">
                  <c:v>429.91321369404216</c:v>
                </c:pt>
                <c:pt idx="333">
                  <c:v>432.23811446673892</c:v>
                </c:pt>
                <c:pt idx="334">
                  <c:v>434.56051367860914</c:v>
                </c:pt>
                <c:pt idx="335">
                  <c:v>436.8804369854841</c:v>
                </c:pt>
                <c:pt idx="336">
                  <c:v>439.19790574975741</c:v>
                </c:pt>
                <c:pt idx="337">
                  <c:v>441.5129369838113</c:v>
                </c:pt>
                <c:pt idx="338">
                  <c:v>443.8255433130729</c:v>
                </c:pt>
                <c:pt idx="339">
                  <c:v>446.13573296031825</c:v>
                </c:pt>
                <c:pt idx="340">
                  <c:v>448.44350975232692</c:v>
                </c:pt>
                <c:pt idx="341">
                  <c:v>450.74887314940628</c:v>
                </c:pt>
                <c:pt idx="342">
                  <c:v>453.0518182976902</c:v>
                </c:pt>
                <c:pt idx="343">
                  <c:v>455.35233610350446</c:v>
                </c:pt>
                <c:pt idx="344">
                  <c:v>457.6504133285224</c:v>
                </c:pt>
                <c:pt idx="345">
                  <c:v>459.94603270394003</c:v>
                </c:pt>
                <c:pt idx="346">
                  <c:v>462.23917306150389</c:v>
                </c:pt>
                <c:pt idx="347">
                  <c:v>464.52980947894571</c:v>
                </c:pt>
                <c:pt idx="348">
                  <c:v>466.81791343721733</c:v>
                </c:pt>
                <c:pt idx="349">
                  <c:v>469.10345298687525</c:v>
                </c:pt>
                <c:pt idx="350">
                  <c:v>471.38639292102164</c:v>
                </c:pt>
                <c:pt idx="351">
                  <c:v>473.66669495235124</c:v>
                </c:pt>
                <c:pt idx="352">
                  <c:v>475.94431789206243</c:v>
                </c:pt>
                <c:pt idx="353">
                  <c:v>478.21921782863882</c:v>
                </c:pt>
                <c:pt idx="354">
                  <c:v>480.49134830478397</c:v>
                </c:pt>
                <c:pt idx="355">
                  <c:v>482.76066049107061</c:v>
                </c:pt>
                <c:pt idx="356">
                  <c:v>485.02710335514104</c:v>
                </c:pt>
                <c:pt idx="357">
                  <c:v>487.29062382555111</c:v>
                </c:pt>
                <c:pt idx="358">
                  <c:v>489.551166949584</c:v>
                </c:pt>
                <c:pt idx="359">
                  <c:v>491.80867604456546</c:v>
                </c:pt>
                <c:pt idx="360">
                  <c:v>494.06309284239001</c:v>
                </c:pt>
                <c:pt idx="361">
                  <c:v>496.31435762711538</c:v>
                </c:pt>
                <c:pt idx="362">
                  <c:v>498.56240936560454</c:v>
                </c:pt>
                <c:pt idx="363">
                  <c:v>500.80718583129209</c:v>
                </c:pt>
                <c:pt idx="364">
                  <c:v>503.04862372122699</c:v>
                </c:pt>
                <c:pt idx="365">
                  <c:v>505.28665876660023</c:v>
                </c:pt>
                <c:pt idx="366">
                  <c:v>507.52122583700702</c:v>
                </c:pt>
                <c:pt idx="367">
                  <c:v>509.75225903872024</c:v>
                </c:pt>
                <c:pt idx="368">
                  <c:v>511.97969180726903</c:v>
                </c:pt>
                <c:pt idx="369">
                  <c:v>514.20345699462439</c:v>
                </c:pt>
                <c:pt idx="370">
                  <c:v>516.42348695129431</c:v>
                </c:pt>
                <c:pt idx="371">
                  <c:v>518.63971360362882</c:v>
                </c:pt>
                <c:pt idx="372">
                  <c:v>520.85206852662554</c:v>
                </c:pt>
                <c:pt idx="373">
                  <c:v>523.06048301251758</c:v>
                </c:pt>
                <c:pt idx="374">
                  <c:v>525.26488813541221</c:v>
                </c:pt>
                <c:pt idx="375">
                  <c:v>527.46521481223613</c:v>
                </c:pt>
                <c:pt idx="376">
                  <c:v>529.66139386022712</c:v>
                </c:pt>
                <c:pt idx="377">
                  <c:v>531.85335605119997</c:v>
                </c:pt>
                <c:pt idx="378">
                  <c:v>534.04103216279725</c:v>
                </c:pt>
                <c:pt idx="379">
                  <c:v>536.22435302692384</c:v>
                </c:pt>
                <c:pt idx="380">
                  <c:v>538.40324957554799</c:v>
                </c:pt>
                <c:pt idx="381">
                  <c:v>540.5776528840413</c:v>
                </c:pt>
                <c:pt idx="382">
                  <c:v>542.74749421221463</c:v>
                </c:pt>
                <c:pt idx="383">
                  <c:v>544.912705043198</c:v>
                </c:pt>
                <c:pt idx="384">
                  <c:v>547.07321712029886</c:v>
                </c:pt>
                <c:pt idx="385">
                  <c:v>549.22896248196525</c:v>
                </c:pt>
                <c:pt idx="386">
                  <c:v>551.37987349496825</c:v>
                </c:pt>
                <c:pt idx="387">
                  <c:v>553.52588288591198</c:v>
                </c:pt>
                <c:pt idx="388">
                  <c:v>555.66692377116829</c:v>
                </c:pt>
                <c:pt idx="389">
                  <c:v>557.80292968532819</c:v>
                </c:pt>
                <c:pt idx="390">
                  <c:v>559.93383460825316</c:v>
                </c:pt>
                <c:pt idx="391">
                  <c:v>562.05957299080376</c:v>
                </c:pt>
                <c:pt idx="392">
                  <c:v>564.18007977931757</c:v>
                </c:pt>
                <c:pt idx="393">
                  <c:v>566.2952904389017</c:v>
                </c:pt>
                <c:pt idx="394">
                  <c:v>568.40514097560117</c:v>
                </c:pt>
                <c:pt idx="395">
                  <c:v>570.50956795749914</c:v>
                </c:pt>
                <c:pt idx="396">
                  <c:v>572.60850853480167</c:v>
                </c:pt>
                <c:pt idx="397">
                  <c:v>574.70190045895424</c:v>
                </c:pt>
                <c:pt idx="398">
                  <c:v>576.78968210083588</c:v>
                </c:pt>
                <c:pt idx="399">
                  <c:v>578.87179246807068</c:v>
                </c:pt>
                <c:pt idx="400">
                  <c:v>580.9481712214972</c:v>
                </c:pt>
                <c:pt idx="401">
                  <c:v>583.01875869082937</c:v>
                </c:pt>
                <c:pt idx="402">
                  <c:v>585.08349588954309</c:v>
                </c:pt>
                <c:pt idx="403">
                  <c:v>587.14232452901956</c:v>
                </c:pt>
                <c:pt idx="404">
                  <c:v>589.19518703197389</c:v>
                </c:pt>
                <c:pt idx="405">
                  <c:v>591.24202654519547</c:v>
                </c:pt>
                <c:pt idx="406">
                  <c:v>593.28278695162567</c:v>
                </c:pt>
                <c:pt idx="407">
                  <c:v>595.31741288179671</c:v>
                </c:pt>
                <c:pt idx="408">
                  <c:v>597.34584972465291</c:v>
                </c:pt>
                <c:pt idx="409">
                  <c:v>599.36804363777549</c:v>
                </c:pt>
                <c:pt idx="410">
                  <c:v>601.38394155703077</c:v>
                </c:pt>
                <c:pt idx="411">
                  <c:v>603.39349120565907</c:v>
                </c:pt>
                <c:pt idx="412">
                  <c:v>605.39664110282297</c:v>
                </c:pt>
                <c:pt idx="413">
                  <c:v>607.39334057162966</c:v>
                </c:pt>
                <c:pt idx="414">
                  <c:v>609.38353974664483</c:v>
                </c:pt>
                <c:pt idx="415">
                  <c:v>611.36718958091092</c:v>
                </c:pt>
                <c:pt idx="416">
                  <c:v>613.34424185248486</c:v>
                </c:pt>
                <c:pt idx="417">
                  <c:v>615.31464917050835</c:v>
                </c:pt>
                <c:pt idx="418">
                  <c:v>617.2783649808232</c:v>
                </c:pt>
                <c:pt idx="419">
                  <c:v>619.23534357114374</c:v>
                </c:pt>
                <c:pt idx="420">
                  <c:v>621.18554007579837</c:v>
                </c:pt>
                <c:pt idx="421">
                  <c:v>623.12891048005122</c:v>
                </c:pt>
                <c:pt idx="422">
                  <c:v>625.06541162401402</c:v>
                </c:pt>
                <c:pt idx="423">
                  <c:v>626.99500120615971</c:v>
                </c:pt>
                <c:pt idx="424">
                  <c:v>628.91763778644645</c:v>
                </c:pt>
                <c:pt idx="425">
                  <c:v>630.83328078906231</c:v>
                </c:pt>
                <c:pt idx="426">
                  <c:v>632.74189050480004</c:v>
                </c:pt>
                <c:pt idx="427">
                  <c:v>634.64342809307038</c:v>
                </c:pt>
                <c:pt idx="428">
                  <c:v>636.53785558356333</c:v>
                </c:pt>
                <c:pt idx="429">
                  <c:v>638.42513587756503</c:v>
                </c:pt>
                <c:pt idx="430">
                  <c:v>640.30523274893949</c:v>
                </c:pt>
                <c:pt idx="431">
                  <c:v>642.1781108447824</c:v>
                </c:pt>
                <c:pt idx="432">
                  <c:v>644.04373568575556</c:v>
                </c:pt>
                <c:pt idx="433">
                  <c:v>645.90207366610889</c:v>
                </c:pt>
                <c:pt idx="434">
                  <c:v>647.7530920533984</c:v>
                </c:pt>
                <c:pt idx="435">
                  <c:v>649.59675898790692</c:v>
                </c:pt>
                <c:pt idx="436">
                  <c:v>651.43304348177503</c:v>
                </c:pt>
                <c:pt idx="437">
                  <c:v>653.26191541784908</c:v>
                </c:pt>
                <c:pt idx="438">
                  <c:v>655.08334554825365</c:v>
                </c:pt>
                <c:pt idx="439">
                  <c:v>656.89730549269507</c:v>
                </c:pt>
                <c:pt idx="440">
                  <c:v>658.70376773650275</c:v>
                </c:pt>
                <c:pt idx="441">
                  <c:v>660.50270562841501</c:v>
                </c:pt>
                <c:pt idx="442">
                  <c:v>662.29409337811614</c:v>
                </c:pt>
                <c:pt idx="443">
                  <c:v>664.07790605353102</c:v>
                </c:pt>
                <c:pt idx="444">
                  <c:v>665.85411957788301</c:v>
                </c:pt>
                <c:pt idx="445">
                  <c:v>667.622710726523</c:v>
                </c:pt>
                <c:pt idx="446">
                  <c:v>669.38365712353402</c:v>
                </c:pt>
                <c:pt idx="447">
                  <c:v>671.136937238119</c:v>
                </c:pt>
                <c:pt idx="448">
                  <c:v>672.88253038077664</c:v>
                </c:pt>
                <c:pt idx="449">
                  <c:v>674.62041669927203</c:v>
                </c:pt>
                <c:pt idx="450">
                  <c:v>676.35057717440782</c:v>
                </c:pt>
                <c:pt idx="451">
                  <c:v>678.07299361560149</c:v>
                </c:pt>
                <c:pt idx="452">
                  <c:v>679.78764865627488</c:v>
                </c:pt>
                <c:pt idx="453">
                  <c:v>681.49452574906161</c:v>
                </c:pt>
                <c:pt idx="454">
                  <c:v>683.19360916083747</c:v>
                </c:pt>
                <c:pt idx="455">
                  <c:v>684.88488396758055</c:v>
                </c:pt>
                <c:pt idx="456">
                  <c:v>686.56833604906524</c:v>
                </c:pt>
                <c:pt idx="457">
                  <c:v>688.24395208339661</c:v>
                </c:pt>
                <c:pt idx="458">
                  <c:v>689.91171954139008</c:v>
                </c:pt>
                <c:pt idx="459">
                  <c:v>691.57162668080184</c:v>
                </c:pt>
                <c:pt idx="460">
                  <c:v>693.22366254041515</c:v>
                </c:pt>
                <c:pt idx="461">
                  <c:v>694.86781693398791</c:v>
                </c:pt>
                <c:pt idx="462">
                  <c:v>696.50408044406652</c:v>
                </c:pt>
                <c:pt idx="463">
                  <c:v>698.13244441567144</c:v>
                </c:pt>
                <c:pt idx="464">
                  <c:v>699.75290094985871</c:v>
                </c:pt>
                <c:pt idx="465">
                  <c:v>701.36544289716335</c:v>
                </c:pt>
                <c:pt idx="466">
                  <c:v>702.97006385092868</c:v>
                </c:pt>
                <c:pt idx="467">
                  <c:v>704.56675814052687</c:v>
                </c:pt>
                <c:pt idx="468">
                  <c:v>706.15552082447562</c:v>
                </c:pt>
                <c:pt idx="469">
                  <c:v>707.73634768345528</c:v>
                </c:pt>
                <c:pt idx="470">
                  <c:v>709.3092352132312</c:v>
                </c:pt>
                <c:pt idx="471">
                  <c:v>710.87418061748588</c:v>
                </c:pt>
                <c:pt idx="472">
                  <c:v>712.43118180056558</c:v>
                </c:pt>
                <c:pt idx="473">
                  <c:v>713.98023736014557</c:v>
                </c:pt>
                <c:pt idx="474">
                  <c:v>715.5213465798189</c:v>
                </c:pt>
                <c:pt idx="475">
                  <c:v>717.05450942161212</c:v>
                </c:pt>
                <c:pt idx="476">
                  <c:v>718.57972651843329</c:v>
                </c:pt>
                <c:pt idx="477">
                  <c:v>720.09699916645559</c:v>
                </c:pt>
                <c:pt idx="478">
                  <c:v>721.6063293174409</c:v>
                </c:pt>
                <c:pt idx="479">
                  <c:v>723.10771957100792</c:v>
                </c:pt>
                <c:pt idx="480">
                  <c:v>724.60117316684796</c:v>
                </c:pt>
                <c:pt idx="481">
                  <c:v>726.08669397689266</c:v>
                </c:pt>
                <c:pt idx="482">
                  <c:v>727.56428649743805</c:v>
                </c:pt>
                <c:pt idx="483">
                  <c:v>729.03395584122757</c:v>
                </c:pt>
                <c:pt idx="484">
                  <c:v>730.49570772949903</c:v>
                </c:pt>
                <c:pt idx="485">
                  <c:v>731.94954848399823</c:v>
                </c:pt>
                <c:pt idx="486">
                  <c:v>733.39548501896286</c:v>
                </c:pt>
                <c:pt idx="487">
                  <c:v>734.8335248330809</c:v>
                </c:pt>
                <c:pt idx="488">
                  <c:v>736.26367600142635</c:v>
                </c:pt>
                <c:pt idx="489">
                  <c:v>737.68594716737562</c:v>
                </c:pt>
                <c:pt idx="490">
                  <c:v>739.10034753450816</c:v>
                </c:pt>
                <c:pt idx="491">
                  <c:v>740.50688685849457</c:v>
                </c:pt>
                <c:pt idx="492">
                  <c:v>741.90557543897478</c:v>
                </c:pt>
                <c:pt idx="493">
                  <c:v>743.29642411143027</c:v>
                </c:pt>
                <c:pt idx="494">
                  <c:v>744.67944423905294</c:v>
                </c:pt>
                <c:pt idx="495">
                  <c:v>746.05464770461299</c:v>
                </c:pt>
                <c:pt idx="496">
                  <c:v>747.42204690232973</c:v>
                </c:pt>
                <c:pt idx="497">
                  <c:v>748.7816547297474</c:v>
                </c:pt>
                <c:pt idx="498">
                  <c:v>750.13348457961911</c:v>
                </c:pt>
                <c:pt idx="499">
                  <c:v>751.47755033180147</c:v>
                </c:pt>
                <c:pt idx="500">
                  <c:v>752.81386634516195</c:v>
                </c:pt>
                <c:pt idx="501">
                  <c:v>754.14244744950292</c:v>
                </c:pt>
                <c:pt idx="502">
                  <c:v>755.46330893750348</c:v>
                </c:pt>
                <c:pt idx="503">
                  <c:v>756.77646655668161</c:v>
                </c:pt>
                <c:pt idx="504">
                  <c:v>758.08193650138014</c:v>
                </c:pt>
                <c:pt idx="505">
                  <c:v>759.37973540477753</c:v>
                </c:pt>
                <c:pt idx="506">
                  <c:v>760.66988033092605</c:v>
                </c:pt>
                <c:pt idx="507">
                  <c:v>761.95238876681992</c:v>
                </c:pt>
                <c:pt idx="508">
                  <c:v>763.22727861449494</c:v>
                </c:pt>
                <c:pt idx="509">
                  <c:v>764.49456818316207</c:v>
                </c:pt>
                <c:pt idx="510">
                  <c:v>765.75427618137633</c:v>
                </c:pt>
                <c:pt idx="511">
                  <c:v>767.0064217092438</c:v>
                </c:pt>
                <c:pt idx="512">
                  <c:v>768.25102425066757</c:v>
                </c:pt>
                <c:pt idx="513">
                  <c:v>769.48810366563509</c:v>
                </c:pt>
                <c:pt idx="514">
                  <c:v>770.71768018254841</c:v>
                </c:pt>
                <c:pt idx="515">
                  <c:v>771.9397743905987</c:v>
                </c:pt>
                <c:pt idx="516">
                  <c:v>773.15440723218717</c:v>
                </c:pt>
                <c:pt idx="517">
                  <c:v>774.36159999539359</c:v>
                </c:pt>
                <c:pt idx="518">
                  <c:v>775.56137430649392</c:v>
                </c:pt>
                <c:pt idx="519">
                  <c:v>776.75375212252811</c:v>
                </c:pt>
                <c:pt idx="520">
                  <c:v>777.93875572392039</c:v>
                </c:pt>
                <c:pt idx="521">
                  <c:v>779.11640770715235</c:v>
                </c:pt>
                <c:pt idx="522">
                  <c:v>780.28673097749038</c:v>
                </c:pt>
                <c:pt idx="523">
                  <c:v>781.4497487417691</c:v>
                </c:pt>
                <c:pt idx="524">
                  <c:v>782.60548450123133</c:v>
                </c:pt>
                <c:pt idx="525">
                  <c:v>783.75396204442598</c:v>
                </c:pt>
                <c:pt idx="526">
                  <c:v>784.89520544016477</c:v>
                </c:pt>
                <c:pt idx="527">
                  <c:v>786.02923903053897</c:v>
                </c:pt>
                <c:pt idx="528">
                  <c:v>786.02923903053897</c:v>
                </c:pt>
                <c:pt idx="529">
                  <c:v>786.02923903053897</c:v>
                </c:pt>
                <c:pt idx="530">
                  <c:v>786.02923903053897</c:v>
                </c:pt>
                <c:pt idx="531">
                  <c:v>786.02923903053897</c:v>
                </c:pt>
                <c:pt idx="532">
                  <c:v>786.02923903053897</c:v>
                </c:pt>
                <c:pt idx="533">
                  <c:v>786.02923903053897</c:v>
                </c:pt>
                <c:pt idx="534">
                  <c:v>786.02923903053897</c:v>
                </c:pt>
                <c:pt idx="535">
                  <c:v>786.02923903053897</c:v>
                </c:pt>
                <c:pt idx="536">
                  <c:v>786.02923903053897</c:v>
                </c:pt>
                <c:pt idx="537">
                  <c:v>786.02923903053897</c:v>
                </c:pt>
                <c:pt idx="538">
                  <c:v>786.02923903053897</c:v>
                </c:pt>
                <c:pt idx="539">
                  <c:v>786.02923903053897</c:v>
                </c:pt>
                <c:pt idx="540">
                  <c:v>786.02923903053897</c:v>
                </c:pt>
                <c:pt idx="541">
                  <c:v>786.02923903053897</c:v>
                </c:pt>
                <c:pt idx="542">
                  <c:v>786.02923903053897</c:v>
                </c:pt>
                <c:pt idx="543">
                  <c:v>786.02923903053897</c:v>
                </c:pt>
                <c:pt idx="544">
                  <c:v>786.02923903053897</c:v>
                </c:pt>
                <c:pt idx="545">
                  <c:v>786.02923903053897</c:v>
                </c:pt>
                <c:pt idx="546">
                  <c:v>786.02923903053897</c:v>
                </c:pt>
                <c:pt idx="547">
                  <c:v>786.02923903053897</c:v>
                </c:pt>
                <c:pt idx="548">
                  <c:v>786.02923903053897</c:v>
                </c:pt>
                <c:pt idx="549">
                  <c:v>786.02923903053897</c:v>
                </c:pt>
                <c:pt idx="550">
                  <c:v>786.02923903053897</c:v>
                </c:pt>
                <c:pt idx="551">
                  <c:v>786.02923903053897</c:v>
                </c:pt>
                <c:pt idx="552">
                  <c:v>786.02923903053897</c:v>
                </c:pt>
                <c:pt idx="553">
                  <c:v>786.02923903053897</c:v>
                </c:pt>
                <c:pt idx="554">
                  <c:v>786.02923903053897</c:v>
                </c:pt>
                <c:pt idx="555">
                  <c:v>786.02923903053897</c:v>
                </c:pt>
                <c:pt idx="556">
                  <c:v>786.02923903053897</c:v>
                </c:pt>
                <c:pt idx="557">
                  <c:v>786.02923903053897</c:v>
                </c:pt>
                <c:pt idx="558">
                  <c:v>786.02923903053897</c:v>
                </c:pt>
                <c:pt idx="559">
                  <c:v>786.02923903053897</c:v>
                </c:pt>
                <c:pt idx="560">
                  <c:v>786.02923903053897</c:v>
                </c:pt>
                <c:pt idx="561">
                  <c:v>786.02923903053897</c:v>
                </c:pt>
                <c:pt idx="562">
                  <c:v>786.02923903053897</c:v>
                </c:pt>
                <c:pt idx="563">
                  <c:v>786.02923903053897</c:v>
                </c:pt>
                <c:pt idx="564">
                  <c:v>786.02923903053897</c:v>
                </c:pt>
                <c:pt idx="565">
                  <c:v>786.02923903053897</c:v>
                </c:pt>
                <c:pt idx="566">
                  <c:v>786.02923903053897</c:v>
                </c:pt>
                <c:pt idx="567">
                  <c:v>786.02923903053897</c:v>
                </c:pt>
                <c:pt idx="568">
                  <c:v>786.02923903053897</c:v>
                </c:pt>
                <c:pt idx="569">
                  <c:v>786.02923903053897</c:v>
                </c:pt>
                <c:pt idx="570">
                  <c:v>786.02923903053897</c:v>
                </c:pt>
                <c:pt idx="571">
                  <c:v>786.02923903053897</c:v>
                </c:pt>
                <c:pt idx="572">
                  <c:v>786.02923903053897</c:v>
                </c:pt>
                <c:pt idx="573">
                  <c:v>786.02923903053897</c:v>
                </c:pt>
                <c:pt idx="574">
                  <c:v>786.02923903053897</c:v>
                </c:pt>
                <c:pt idx="575">
                  <c:v>786.02923903053897</c:v>
                </c:pt>
                <c:pt idx="576">
                  <c:v>786.02923903053897</c:v>
                </c:pt>
                <c:pt idx="577">
                  <c:v>786.02923903053897</c:v>
                </c:pt>
                <c:pt idx="578">
                  <c:v>786.02923903053897</c:v>
                </c:pt>
                <c:pt idx="579">
                  <c:v>786.02923903053897</c:v>
                </c:pt>
                <c:pt idx="580">
                  <c:v>786.02923903053897</c:v>
                </c:pt>
                <c:pt idx="581">
                  <c:v>786.02923903053897</c:v>
                </c:pt>
                <c:pt idx="582">
                  <c:v>786.02923903053897</c:v>
                </c:pt>
                <c:pt idx="583">
                  <c:v>786.02923903053897</c:v>
                </c:pt>
                <c:pt idx="584">
                  <c:v>786.02923903053897</c:v>
                </c:pt>
                <c:pt idx="585">
                  <c:v>786.02923903053897</c:v>
                </c:pt>
                <c:pt idx="586">
                  <c:v>786.02923903053897</c:v>
                </c:pt>
                <c:pt idx="587">
                  <c:v>786.02923903053897</c:v>
                </c:pt>
                <c:pt idx="588">
                  <c:v>786.02923903053897</c:v>
                </c:pt>
                <c:pt idx="589">
                  <c:v>786.02923903053897</c:v>
                </c:pt>
                <c:pt idx="590">
                  <c:v>786.02923903053897</c:v>
                </c:pt>
                <c:pt idx="591">
                  <c:v>786.02923903053897</c:v>
                </c:pt>
                <c:pt idx="592">
                  <c:v>786.02923903053897</c:v>
                </c:pt>
                <c:pt idx="593">
                  <c:v>786.02923903053897</c:v>
                </c:pt>
                <c:pt idx="594">
                  <c:v>786.02923903053897</c:v>
                </c:pt>
                <c:pt idx="595">
                  <c:v>786.02923903053897</c:v>
                </c:pt>
                <c:pt idx="596">
                  <c:v>786.02923903053897</c:v>
                </c:pt>
                <c:pt idx="597">
                  <c:v>786.02923903053897</c:v>
                </c:pt>
                <c:pt idx="598">
                  <c:v>786.02923903053897</c:v>
                </c:pt>
                <c:pt idx="599">
                  <c:v>786.02923903053897</c:v>
                </c:pt>
                <c:pt idx="600">
                  <c:v>786.02923903053897</c:v>
                </c:pt>
                <c:pt idx="601">
                  <c:v>786.02923903053897</c:v>
                </c:pt>
                <c:pt idx="602">
                  <c:v>786.02923903053897</c:v>
                </c:pt>
                <c:pt idx="603">
                  <c:v>786.02923903053897</c:v>
                </c:pt>
                <c:pt idx="604">
                  <c:v>786.02923903053897</c:v>
                </c:pt>
                <c:pt idx="605">
                  <c:v>786.02923903053897</c:v>
                </c:pt>
                <c:pt idx="606">
                  <c:v>786.02923903053897</c:v>
                </c:pt>
                <c:pt idx="607">
                  <c:v>786.02923903053897</c:v>
                </c:pt>
                <c:pt idx="608">
                  <c:v>786.02923903053897</c:v>
                </c:pt>
                <c:pt idx="609">
                  <c:v>786.02923903053897</c:v>
                </c:pt>
                <c:pt idx="610">
                  <c:v>786.02923903053897</c:v>
                </c:pt>
                <c:pt idx="611">
                  <c:v>786.02923903053897</c:v>
                </c:pt>
                <c:pt idx="612">
                  <c:v>786.02923903053897</c:v>
                </c:pt>
                <c:pt idx="613">
                  <c:v>786.02923903053897</c:v>
                </c:pt>
                <c:pt idx="614">
                  <c:v>786.02923903053897</c:v>
                </c:pt>
                <c:pt idx="615">
                  <c:v>786.02923903053897</c:v>
                </c:pt>
                <c:pt idx="616">
                  <c:v>786.02923903053897</c:v>
                </c:pt>
                <c:pt idx="617">
                  <c:v>786.02923903053897</c:v>
                </c:pt>
                <c:pt idx="618">
                  <c:v>786.02923903053897</c:v>
                </c:pt>
                <c:pt idx="619">
                  <c:v>786.02923903053897</c:v>
                </c:pt>
                <c:pt idx="620">
                  <c:v>786.02923903053897</c:v>
                </c:pt>
                <c:pt idx="621">
                  <c:v>786.02923903053897</c:v>
                </c:pt>
                <c:pt idx="622">
                  <c:v>786.02923903053897</c:v>
                </c:pt>
                <c:pt idx="623">
                  <c:v>786.02923903053897</c:v>
                </c:pt>
                <c:pt idx="624">
                  <c:v>786.02923903053897</c:v>
                </c:pt>
                <c:pt idx="625">
                  <c:v>786.02923903053897</c:v>
                </c:pt>
                <c:pt idx="626">
                  <c:v>786.02923903053897</c:v>
                </c:pt>
                <c:pt idx="627">
                  <c:v>786.02923903053897</c:v>
                </c:pt>
                <c:pt idx="628">
                  <c:v>786.02923903053897</c:v>
                </c:pt>
                <c:pt idx="629">
                  <c:v>786.02923903053897</c:v>
                </c:pt>
                <c:pt idx="630">
                  <c:v>786.02923903053897</c:v>
                </c:pt>
                <c:pt idx="631">
                  <c:v>786.02923903053897</c:v>
                </c:pt>
                <c:pt idx="632">
                  <c:v>786.02923903053897</c:v>
                </c:pt>
                <c:pt idx="633">
                  <c:v>786.02923903053897</c:v>
                </c:pt>
                <c:pt idx="634">
                  <c:v>786.02923903053897</c:v>
                </c:pt>
                <c:pt idx="635">
                  <c:v>786.02923903053897</c:v>
                </c:pt>
                <c:pt idx="636">
                  <c:v>786.02923903053897</c:v>
                </c:pt>
                <c:pt idx="637">
                  <c:v>786.02923903053897</c:v>
                </c:pt>
                <c:pt idx="638">
                  <c:v>786.02923903053897</c:v>
                </c:pt>
                <c:pt idx="639">
                  <c:v>786.02923903053897</c:v>
                </c:pt>
                <c:pt idx="640">
                  <c:v>786.02923903053897</c:v>
                </c:pt>
                <c:pt idx="641">
                  <c:v>786.02923903053897</c:v>
                </c:pt>
                <c:pt idx="642">
                  <c:v>786.02923903053897</c:v>
                </c:pt>
                <c:pt idx="643">
                  <c:v>786.02923903053897</c:v>
                </c:pt>
                <c:pt idx="644">
                  <c:v>786.02923903053897</c:v>
                </c:pt>
                <c:pt idx="645">
                  <c:v>786.02923903053897</c:v>
                </c:pt>
                <c:pt idx="646">
                  <c:v>786.02923903053897</c:v>
                </c:pt>
                <c:pt idx="647">
                  <c:v>786.02923903053897</c:v>
                </c:pt>
                <c:pt idx="648">
                  <c:v>786.02923903053897</c:v>
                </c:pt>
                <c:pt idx="649">
                  <c:v>786.02923903053897</c:v>
                </c:pt>
                <c:pt idx="650">
                  <c:v>786.02923903053897</c:v>
                </c:pt>
                <c:pt idx="651">
                  <c:v>786.02923903053897</c:v>
                </c:pt>
                <c:pt idx="652">
                  <c:v>786.02923903053897</c:v>
                </c:pt>
                <c:pt idx="653">
                  <c:v>786.02923903053897</c:v>
                </c:pt>
                <c:pt idx="654">
                  <c:v>786.02923903053897</c:v>
                </c:pt>
                <c:pt idx="655">
                  <c:v>786.02923903053897</c:v>
                </c:pt>
                <c:pt idx="656">
                  <c:v>786.02923903053897</c:v>
                </c:pt>
                <c:pt idx="657">
                  <c:v>786.02923903053897</c:v>
                </c:pt>
                <c:pt idx="658">
                  <c:v>786.02923903053897</c:v>
                </c:pt>
                <c:pt idx="659">
                  <c:v>786.02923903053897</c:v>
                </c:pt>
                <c:pt idx="660">
                  <c:v>786.02923903053897</c:v>
                </c:pt>
                <c:pt idx="661">
                  <c:v>786.02923903053897</c:v>
                </c:pt>
                <c:pt idx="662">
                  <c:v>786.02923903053897</c:v>
                </c:pt>
                <c:pt idx="663">
                  <c:v>786.02923903053897</c:v>
                </c:pt>
                <c:pt idx="664">
                  <c:v>786.02923903053897</c:v>
                </c:pt>
                <c:pt idx="665">
                  <c:v>786.02923903053897</c:v>
                </c:pt>
                <c:pt idx="666">
                  <c:v>786.02923903053897</c:v>
                </c:pt>
                <c:pt idx="667">
                  <c:v>786.02923903053897</c:v>
                </c:pt>
                <c:pt idx="668">
                  <c:v>786.02923903053897</c:v>
                </c:pt>
                <c:pt idx="669">
                  <c:v>786.02923903053897</c:v>
                </c:pt>
                <c:pt idx="670">
                  <c:v>786.02923903053897</c:v>
                </c:pt>
                <c:pt idx="671">
                  <c:v>786.02923903053897</c:v>
                </c:pt>
                <c:pt idx="672">
                  <c:v>786.02923903053897</c:v>
                </c:pt>
                <c:pt idx="673">
                  <c:v>786.02923903053897</c:v>
                </c:pt>
                <c:pt idx="674">
                  <c:v>786.02923903053897</c:v>
                </c:pt>
                <c:pt idx="675">
                  <c:v>786.02923903053897</c:v>
                </c:pt>
                <c:pt idx="676">
                  <c:v>786.02923903053897</c:v>
                </c:pt>
                <c:pt idx="677">
                  <c:v>786.02923903053897</c:v>
                </c:pt>
                <c:pt idx="678">
                  <c:v>786.02923903053897</c:v>
                </c:pt>
                <c:pt idx="679">
                  <c:v>786.02923903053897</c:v>
                </c:pt>
                <c:pt idx="680">
                  <c:v>786.02923903053897</c:v>
                </c:pt>
                <c:pt idx="681">
                  <c:v>786.02923903053897</c:v>
                </c:pt>
                <c:pt idx="682">
                  <c:v>786.02923903053897</c:v>
                </c:pt>
                <c:pt idx="683">
                  <c:v>786.02923903053897</c:v>
                </c:pt>
                <c:pt idx="684">
                  <c:v>786.02923903053897</c:v>
                </c:pt>
                <c:pt idx="685">
                  <c:v>786.02923903053897</c:v>
                </c:pt>
                <c:pt idx="686">
                  <c:v>786.02923903053897</c:v>
                </c:pt>
                <c:pt idx="687">
                  <c:v>786.02923903053897</c:v>
                </c:pt>
                <c:pt idx="688">
                  <c:v>786.02923903053897</c:v>
                </c:pt>
                <c:pt idx="689">
                  <c:v>786.02923903053897</c:v>
                </c:pt>
                <c:pt idx="690">
                  <c:v>786.02923903053897</c:v>
                </c:pt>
                <c:pt idx="691">
                  <c:v>786.02923903053897</c:v>
                </c:pt>
                <c:pt idx="692">
                  <c:v>786.02923903053897</c:v>
                </c:pt>
                <c:pt idx="693">
                  <c:v>786.02923903053897</c:v>
                </c:pt>
                <c:pt idx="694">
                  <c:v>786.02923903053897</c:v>
                </c:pt>
                <c:pt idx="695">
                  <c:v>786.02923903053897</c:v>
                </c:pt>
                <c:pt idx="696">
                  <c:v>786.02923903053897</c:v>
                </c:pt>
                <c:pt idx="697">
                  <c:v>786.02923903053897</c:v>
                </c:pt>
                <c:pt idx="698">
                  <c:v>786.02923903053897</c:v>
                </c:pt>
                <c:pt idx="699">
                  <c:v>786.02923903053897</c:v>
                </c:pt>
                <c:pt idx="700">
                  <c:v>786.02923903053897</c:v>
                </c:pt>
                <c:pt idx="701">
                  <c:v>786.02923903053897</c:v>
                </c:pt>
                <c:pt idx="702">
                  <c:v>786.02923903053897</c:v>
                </c:pt>
                <c:pt idx="703">
                  <c:v>786.02923903053897</c:v>
                </c:pt>
                <c:pt idx="704">
                  <c:v>786.02923903053897</c:v>
                </c:pt>
                <c:pt idx="705">
                  <c:v>786.02923903053897</c:v>
                </c:pt>
                <c:pt idx="706">
                  <c:v>786.02923903053897</c:v>
                </c:pt>
                <c:pt idx="707">
                  <c:v>786.02923903053897</c:v>
                </c:pt>
                <c:pt idx="708">
                  <c:v>786.02923903053897</c:v>
                </c:pt>
                <c:pt idx="709">
                  <c:v>786.02923903053897</c:v>
                </c:pt>
                <c:pt idx="710">
                  <c:v>786.02923903053897</c:v>
                </c:pt>
                <c:pt idx="711">
                  <c:v>786.02923903053897</c:v>
                </c:pt>
                <c:pt idx="712">
                  <c:v>786.02923903053897</c:v>
                </c:pt>
                <c:pt idx="713">
                  <c:v>786.02923903053897</c:v>
                </c:pt>
                <c:pt idx="714">
                  <c:v>786.02923903053897</c:v>
                </c:pt>
                <c:pt idx="715">
                  <c:v>786.02923903053897</c:v>
                </c:pt>
                <c:pt idx="716">
                  <c:v>786.02923903053897</c:v>
                </c:pt>
                <c:pt idx="717">
                  <c:v>786.02923903053897</c:v>
                </c:pt>
                <c:pt idx="718">
                  <c:v>786.02923903053897</c:v>
                </c:pt>
                <c:pt idx="719">
                  <c:v>786.02923903053897</c:v>
                </c:pt>
                <c:pt idx="720">
                  <c:v>786.02923903053897</c:v>
                </c:pt>
                <c:pt idx="721">
                  <c:v>786.02923903053897</c:v>
                </c:pt>
                <c:pt idx="722">
                  <c:v>786.02923903053897</c:v>
                </c:pt>
                <c:pt idx="723">
                  <c:v>786.02923903053897</c:v>
                </c:pt>
                <c:pt idx="724">
                  <c:v>786.02923903053897</c:v>
                </c:pt>
                <c:pt idx="725">
                  <c:v>786.02923903053897</c:v>
                </c:pt>
                <c:pt idx="726">
                  <c:v>786.02923903053897</c:v>
                </c:pt>
                <c:pt idx="727">
                  <c:v>786.02923903053897</c:v>
                </c:pt>
                <c:pt idx="728">
                  <c:v>786.02923903053897</c:v>
                </c:pt>
                <c:pt idx="729">
                  <c:v>786.02923903053897</c:v>
                </c:pt>
                <c:pt idx="730">
                  <c:v>786.02923903053897</c:v>
                </c:pt>
                <c:pt idx="731">
                  <c:v>786.02923903053897</c:v>
                </c:pt>
                <c:pt idx="732">
                  <c:v>786.02923903053897</c:v>
                </c:pt>
                <c:pt idx="733">
                  <c:v>786.02923903053897</c:v>
                </c:pt>
                <c:pt idx="734">
                  <c:v>786.02923903053897</c:v>
                </c:pt>
                <c:pt idx="735">
                  <c:v>786.02923903053897</c:v>
                </c:pt>
                <c:pt idx="736">
                  <c:v>786.02923903053897</c:v>
                </c:pt>
                <c:pt idx="737">
                  <c:v>786.02923903053897</c:v>
                </c:pt>
                <c:pt idx="738">
                  <c:v>786.02923903053897</c:v>
                </c:pt>
                <c:pt idx="739">
                  <c:v>786.02923903053897</c:v>
                </c:pt>
                <c:pt idx="740">
                  <c:v>786.02923903053897</c:v>
                </c:pt>
                <c:pt idx="741">
                  <c:v>786.02923903053897</c:v>
                </c:pt>
                <c:pt idx="742">
                  <c:v>786.02923903053897</c:v>
                </c:pt>
                <c:pt idx="743">
                  <c:v>786.02923903053897</c:v>
                </c:pt>
                <c:pt idx="744">
                  <c:v>786.02923903053897</c:v>
                </c:pt>
                <c:pt idx="745">
                  <c:v>786.02923903053897</c:v>
                </c:pt>
                <c:pt idx="746">
                  <c:v>786.02923903053897</c:v>
                </c:pt>
                <c:pt idx="747">
                  <c:v>786.02923903053897</c:v>
                </c:pt>
                <c:pt idx="748">
                  <c:v>786.02923903053897</c:v>
                </c:pt>
                <c:pt idx="749">
                  <c:v>786.02923903053897</c:v>
                </c:pt>
                <c:pt idx="750">
                  <c:v>786.02923903053897</c:v>
                </c:pt>
                <c:pt idx="751">
                  <c:v>786.02923903053897</c:v>
                </c:pt>
                <c:pt idx="752">
                  <c:v>786.02923903053897</c:v>
                </c:pt>
                <c:pt idx="753">
                  <c:v>786.02923903053897</c:v>
                </c:pt>
                <c:pt idx="754">
                  <c:v>786.02923903053897</c:v>
                </c:pt>
                <c:pt idx="755">
                  <c:v>786.02923903053897</c:v>
                </c:pt>
                <c:pt idx="756">
                  <c:v>786.02923903053897</c:v>
                </c:pt>
                <c:pt idx="757">
                  <c:v>786.02923903053897</c:v>
                </c:pt>
                <c:pt idx="758">
                  <c:v>786.02923903053897</c:v>
                </c:pt>
                <c:pt idx="759">
                  <c:v>786.02923903053897</c:v>
                </c:pt>
                <c:pt idx="760">
                  <c:v>786.02923903053897</c:v>
                </c:pt>
                <c:pt idx="761">
                  <c:v>786.02923903053897</c:v>
                </c:pt>
                <c:pt idx="762">
                  <c:v>786.02923903053897</c:v>
                </c:pt>
                <c:pt idx="763">
                  <c:v>786.02923903053897</c:v>
                </c:pt>
                <c:pt idx="764">
                  <c:v>786.02923903053897</c:v>
                </c:pt>
                <c:pt idx="765">
                  <c:v>786.02923903053897</c:v>
                </c:pt>
                <c:pt idx="766">
                  <c:v>786.02923903053897</c:v>
                </c:pt>
                <c:pt idx="767">
                  <c:v>786.02923903053897</c:v>
                </c:pt>
                <c:pt idx="768">
                  <c:v>786.02923903053897</c:v>
                </c:pt>
                <c:pt idx="769">
                  <c:v>786.02923903053897</c:v>
                </c:pt>
                <c:pt idx="770">
                  <c:v>786.02923903053897</c:v>
                </c:pt>
                <c:pt idx="771">
                  <c:v>786.02923903053897</c:v>
                </c:pt>
                <c:pt idx="772">
                  <c:v>786.02923903053897</c:v>
                </c:pt>
                <c:pt idx="773">
                  <c:v>786.02923903053897</c:v>
                </c:pt>
                <c:pt idx="774">
                  <c:v>786.02923903053897</c:v>
                </c:pt>
                <c:pt idx="775">
                  <c:v>786.02923903053897</c:v>
                </c:pt>
                <c:pt idx="776">
                  <c:v>786.02923903053897</c:v>
                </c:pt>
                <c:pt idx="777">
                  <c:v>786.02923903053897</c:v>
                </c:pt>
                <c:pt idx="778">
                  <c:v>786.02923903053897</c:v>
                </c:pt>
                <c:pt idx="779">
                  <c:v>786.02923903053897</c:v>
                </c:pt>
                <c:pt idx="780">
                  <c:v>786.02923903053897</c:v>
                </c:pt>
                <c:pt idx="781">
                  <c:v>786.02923903053897</c:v>
                </c:pt>
                <c:pt idx="782">
                  <c:v>786.02923903053897</c:v>
                </c:pt>
                <c:pt idx="783">
                  <c:v>786.02923903053897</c:v>
                </c:pt>
                <c:pt idx="784">
                  <c:v>786.02923903053897</c:v>
                </c:pt>
                <c:pt idx="785">
                  <c:v>786.02923903053897</c:v>
                </c:pt>
                <c:pt idx="786">
                  <c:v>786.02923903053897</c:v>
                </c:pt>
                <c:pt idx="787">
                  <c:v>786.02923903053897</c:v>
                </c:pt>
                <c:pt idx="788">
                  <c:v>786.02923903053897</c:v>
                </c:pt>
                <c:pt idx="789">
                  <c:v>786.02923903053897</c:v>
                </c:pt>
                <c:pt idx="790">
                  <c:v>786.02923903053897</c:v>
                </c:pt>
                <c:pt idx="791">
                  <c:v>786.02923903053897</c:v>
                </c:pt>
                <c:pt idx="792">
                  <c:v>786.02923903053897</c:v>
                </c:pt>
                <c:pt idx="793">
                  <c:v>786.02923903053897</c:v>
                </c:pt>
                <c:pt idx="794">
                  <c:v>786.02923903053897</c:v>
                </c:pt>
                <c:pt idx="795">
                  <c:v>786.02923903053897</c:v>
                </c:pt>
                <c:pt idx="796">
                  <c:v>786.02923903053897</c:v>
                </c:pt>
                <c:pt idx="797">
                  <c:v>786.02923903053897</c:v>
                </c:pt>
                <c:pt idx="798">
                  <c:v>786.02923903053897</c:v>
                </c:pt>
                <c:pt idx="799">
                  <c:v>786.02923903053897</c:v>
                </c:pt>
                <c:pt idx="800">
                  <c:v>786.02923903053897</c:v>
                </c:pt>
                <c:pt idx="801">
                  <c:v>786.02923903053897</c:v>
                </c:pt>
                <c:pt idx="802">
                  <c:v>786.02923903053897</c:v>
                </c:pt>
                <c:pt idx="803">
                  <c:v>786.02923903053897</c:v>
                </c:pt>
                <c:pt idx="804">
                  <c:v>786.02923903053897</c:v>
                </c:pt>
                <c:pt idx="805">
                  <c:v>786.02923903053897</c:v>
                </c:pt>
                <c:pt idx="806">
                  <c:v>786.02923903053897</c:v>
                </c:pt>
                <c:pt idx="807">
                  <c:v>786.02923903053897</c:v>
                </c:pt>
                <c:pt idx="808">
                  <c:v>786.02923903053897</c:v>
                </c:pt>
                <c:pt idx="809">
                  <c:v>786.02923903053897</c:v>
                </c:pt>
                <c:pt idx="810">
                  <c:v>786.02923903053897</c:v>
                </c:pt>
                <c:pt idx="811">
                  <c:v>786.02923903053897</c:v>
                </c:pt>
                <c:pt idx="812">
                  <c:v>786.02923903053897</c:v>
                </c:pt>
                <c:pt idx="813">
                  <c:v>786.02923903053897</c:v>
                </c:pt>
                <c:pt idx="814">
                  <c:v>786.02923903053897</c:v>
                </c:pt>
                <c:pt idx="815">
                  <c:v>786.02923903053897</c:v>
                </c:pt>
                <c:pt idx="816">
                  <c:v>786.02923903053897</c:v>
                </c:pt>
                <c:pt idx="817">
                  <c:v>786.02923903053897</c:v>
                </c:pt>
                <c:pt idx="818">
                  <c:v>786.02923903053897</c:v>
                </c:pt>
                <c:pt idx="819">
                  <c:v>786.02923903053897</c:v>
                </c:pt>
                <c:pt idx="820">
                  <c:v>786.02923903053897</c:v>
                </c:pt>
                <c:pt idx="821">
                  <c:v>786.02923903053897</c:v>
                </c:pt>
                <c:pt idx="822">
                  <c:v>786.02923903053897</c:v>
                </c:pt>
                <c:pt idx="823">
                  <c:v>786.02923903053897</c:v>
                </c:pt>
                <c:pt idx="824">
                  <c:v>786.02923903053897</c:v>
                </c:pt>
                <c:pt idx="825">
                  <c:v>786.02923903053897</c:v>
                </c:pt>
                <c:pt idx="826">
                  <c:v>786.02923903053897</c:v>
                </c:pt>
                <c:pt idx="827">
                  <c:v>786.02923903053897</c:v>
                </c:pt>
                <c:pt idx="828">
                  <c:v>786.02923903053897</c:v>
                </c:pt>
                <c:pt idx="829">
                  <c:v>786.02923903053897</c:v>
                </c:pt>
                <c:pt idx="830">
                  <c:v>786.02923903053897</c:v>
                </c:pt>
                <c:pt idx="831">
                  <c:v>786.02923903053897</c:v>
                </c:pt>
                <c:pt idx="832">
                  <c:v>786.02923903053897</c:v>
                </c:pt>
                <c:pt idx="833">
                  <c:v>786.02923903053897</c:v>
                </c:pt>
                <c:pt idx="834">
                  <c:v>786.02923903053897</c:v>
                </c:pt>
                <c:pt idx="835">
                  <c:v>786.02923903053897</c:v>
                </c:pt>
                <c:pt idx="836">
                  <c:v>786.02923903053897</c:v>
                </c:pt>
                <c:pt idx="837">
                  <c:v>786.02923903053897</c:v>
                </c:pt>
                <c:pt idx="838">
                  <c:v>786.02923903053897</c:v>
                </c:pt>
                <c:pt idx="839">
                  <c:v>786.02923903053897</c:v>
                </c:pt>
                <c:pt idx="840">
                  <c:v>786.02923903053897</c:v>
                </c:pt>
                <c:pt idx="841">
                  <c:v>786.02923903053897</c:v>
                </c:pt>
                <c:pt idx="842">
                  <c:v>786.02923903053897</c:v>
                </c:pt>
                <c:pt idx="843">
                  <c:v>786.02923903053897</c:v>
                </c:pt>
                <c:pt idx="844">
                  <c:v>786.02923903053897</c:v>
                </c:pt>
                <c:pt idx="845">
                  <c:v>786.02923903053897</c:v>
                </c:pt>
                <c:pt idx="846">
                  <c:v>786.02923903053897</c:v>
                </c:pt>
                <c:pt idx="847">
                  <c:v>786.02923903053897</c:v>
                </c:pt>
                <c:pt idx="848">
                  <c:v>786.02923903053897</c:v>
                </c:pt>
                <c:pt idx="849">
                  <c:v>786.02923903053897</c:v>
                </c:pt>
                <c:pt idx="850">
                  <c:v>786.02923903053897</c:v>
                </c:pt>
                <c:pt idx="851">
                  <c:v>786.02923903053897</c:v>
                </c:pt>
                <c:pt idx="852">
                  <c:v>786.02923903053897</c:v>
                </c:pt>
                <c:pt idx="853">
                  <c:v>786.02923903053897</c:v>
                </c:pt>
                <c:pt idx="854">
                  <c:v>786.02923903053897</c:v>
                </c:pt>
                <c:pt idx="855">
                  <c:v>786.02923903053897</c:v>
                </c:pt>
                <c:pt idx="856">
                  <c:v>786.02923903053897</c:v>
                </c:pt>
                <c:pt idx="857">
                  <c:v>786.02923903053897</c:v>
                </c:pt>
                <c:pt idx="858">
                  <c:v>786.02923903053897</c:v>
                </c:pt>
                <c:pt idx="859">
                  <c:v>786.02923903053897</c:v>
                </c:pt>
                <c:pt idx="860">
                  <c:v>786.02923903053897</c:v>
                </c:pt>
                <c:pt idx="861">
                  <c:v>786.02923903053897</c:v>
                </c:pt>
                <c:pt idx="862">
                  <c:v>786.02923903053897</c:v>
                </c:pt>
                <c:pt idx="863">
                  <c:v>786.02923903053897</c:v>
                </c:pt>
                <c:pt idx="864">
                  <c:v>786.02923903053897</c:v>
                </c:pt>
                <c:pt idx="865">
                  <c:v>786.02923903053897</c:v>
                </c:pt>
                <c:pt idx="866">
                  <c:v>786.02923903053897</c:v>
                </c:pt>
                <c:pt idx="867">
                  <c:v>786.02923903053897</c:v>
                </c:pt>
                <c:pt idx="868">
                  <c:v>786.02923903053897</c:v>
                </c:pt>
                <c:pt idx="869">
                  <c:v>786.02923903053897</c:v>
                </c:pt>
                <c:pt idx="870">
                  <c:v>786.02923903053897</c:v>
                </c:pt>
                <c:pt idx="871">
                  <c:v>786.02923903053897</c:v>
                </c:pt>
                <c:pt idx="872">
                  <c:v>786.02923903053897</c:v>
                </c:pt>
                <c:pt idx="873">
                  <c:v>786.02923903053897</c:v>
                </c:pt>
                <c:pt idx="874">
                  <c:v>786.02923903053897</c:v>
                </c:pt>
                <c:pt idx="875">
                  <c:v>786.02923903053897</c:v>
                </c:pt>
                <c:pt idx="876">
                  <c:v>786.02923903053897</c:v>
                </c:pt>
                <c:pt idx="877">
                  <c:v>786.02923903053897</c:v>
                </c:pt>
                <c:pt idx="878">
                  <c:v>786.02923903053897</c:v>
                </c:pt>
                <c:pt idx="879">
                  <c:v>786.02923903053897</c:v>
                </c:pt>
                <c:pt idx="880">
                  <c:v>786.02923903053897</c:v>
                </c:pt>
                <c:pt idx="881">
                  <c:v>786.02923903053897</c:v>
                </c:pt>
                <c:pt idx="882">
                  <c:v>786.02923903053897</c:v>
                </c:pt>
                <c:pt idx="883">
                  <c:v>786.02923903053897</c:v>
                </c:pt>
                <c:pt idx="884">
                  <c:v>786.02923903053897</c:v>
                </c:pt>
                <c:pt idx="885">
                  <c:v>786.02923903053897</c:v>
                </c:pt>
                <c:pt idx="886">
                  <c:v>786.02923903053897</c:v>
                </c:pt>
                <c:pt idx="887">
                  <c:v>786.02923903053897</c:v>
                </c:pt>
                <c:pt idx="888">
                  <c:v>786.02923903053897</c:v>
                </c:pt>
                <c:pt idx="889">
                  <c:v>786.02923903053897</c:v>
                </c:pt>
                <c:pt idx="890">
                  <c:v>786.02923903053897</c:v>
                </c:pt>
                <c:pt idx="891">
                  <c:v>786.02923903053897</c:v>
                </c:pt>
                <c:pt idx="892">
                  <c:v>786.02923903053897</c:v>
                </c:pt>
                <c:pt idx="893">
                  <c:v>786.02923903053897</c:v>
                </c:pt>
                <c:pt idx="894">
                  <c:v>786.02923903053897</c:v>
                </c:pt>
                <c:pt idx="895">
                  <c:v>786.02923903053897</c:v>
                </c:pt>
                <c:pt idx="896">
                  <c:v>786.02923903053897</c:v>
                </c:pt>
                <c:pt idx="897">
                  <c:v>786.02923903053897</c:v>
                </c:pt>
                <c:pt idx="898">
                  <c:v>786.02923903053897</c:v>
                </c:pt>
                <c:pt idx="899">
                  <c:v>786.02923903053897</c:v>
                </c:pt>
                <c:pt idx="900">
                  <c:v>786.02923903053897</c:v>
                </c:pt>
                <c:pt idx="901">
                  <c:v>786.02923903053897</c:v>
                </c:pt>
                <c:pt idx="902">
                  <c:v>786.02923903053897</c:v>
                </c:pt>
                <c:pt idx="903">
                  <c:v>786.02923903053897</c:v>
                </c:pt>
                <c:pt idx="904">
                  <c:v>786.02923903053897</c:v>
                </c:pt>
                <c:pt idx="905">
                  <c:v>786.02923903053897</c:v>
                </c:pt>
                <c:pt idx="906">
                  <c:v>786.02923903053897</c:v>
                </c:pt>
                <c:pt idx="907">
                  <c:v>786.02923903053897</c:v>
                </c:pt>
                <c:pt idx="908">
                  <c:v>786.02923903053897</c:v>
                </c:pt>
                <c:pt idx="909">
                  <c:v>786.02923903053897</c:v>
                </c:pt>
                <c:pt idx="910">
                  <c:v>786.02923903053897</c:v>
                </c:pt>
                <c:pt idx="911">
                  <c:v>786.02923903053897</c:v>
                </c:pt>
                <c:pt idx="912">
                  <c:v>786.02923903053897</c:v>
                </c:pt>
                <c:pt idx="913">
                  <c:v>786.02923903053897</c:v>
                </c:pt>
                <c:pt idx="914">
                  <c:v>786.02923903053897</c:v>
                </c:pt>
                <c:pt idx="915">
                  <c:v>786.02923903053897</c:v>
                </c:pt>
                <c:pt idx="916">
                  <c:v>786.02923903053897</c:v>
                </c:pt>
                <c:pt idx="917">
                  <c:v>786.02923903053897</c:v>
                </c:pt>
                <c:pt idx="918">
                  <c:v>786.02923903053897</c:v>
                </c:pt>
                <c:pt idx="919">
                  <c:v>786.02923903053897</c:v>
                </c:pt>
                <c:pt idx="920">
                  <c:v>786.02923903053897</c:v>
                </c:pt>
                <c:pt idx="921">
                  <c:v>786.02923903053897</c:v>
                </c:pt>
                <c:pt idx="922">
                  <c:v>786.02923903053897</c:v>
                </c:pt>
                <c:pt idx="923">
                  <c:v>786.02923903053897</c:v>
                </c:pt>
                <c:pt idx="924">
                  <c:v>786.02923903053897</c:v>
                </c:pt>
                <c:pt idx="925">
                  <c:v>786.02923903053897</c:v>
                </c:pt>
                <c:pt idx="926">
                  <c:v>786.02923903053897</c:v>
                </c:pt>
                <c:pt idx="927">
                  <c:v>786.02923903053897</c:v>
                </c:pt>
                <c:pt idx="928">
                  <c:v>786.02923903053897</c:v>
                </c:pt>
                <c:pt idx="929">
                  <c:v>786.02923903053897</c:v>
                </c:pt>
                <c:pt idx="930">
                  <c:v>786.02923903053897</c:v>
                </c:pt>
                <c:pt idx="931">
                  <c:v>786.02923903053897</c:v>
                </c:pt>
                <c:pt idx="932">
                  <c:v>786.02923903053897</c:v>
                </c:pt>
                <c:pt idx="933">
                  <c:v>786.02923903053897</c:v>
                </c:pt>
                <c:pt idx="934">
                  <c:v>786.02923903053897</c:v>
                </c:pt>
                <c:pt idx="935">
                  <c:v>786.02923903053897</c:v>
                </c:pt>
                <c:pt idx="936">
                  <c:v>786.02923903053897</c:v>
                </c:pt>
                <c:pt idx="937">
                  <c:v>786.02923903053897</c:v>
                </c:pt>
                <c:pt idx="938">
                  <c:v>786.02923903053897</c:v>
                </c:pt>
                <c:pt idx="939">
                  <c:v>786.02923903053897</c:v>
                </c:pt>
                <c:pt idx="940">
                  <c:v>786.02923903053897</c:v>
                </c:pt>
                <c:pt idx="941">
                  <c:v>786.02923903053897</c:v>
                </c:pt>
                <c:pt idx="942">
                  <c:v>786.02923903053897</c:v>
                </c:pt>
                <c:pt idx="943">
                  <c:v>786.02923903053897</c:v>
                </c:pt>
                <c:pt idx="944">
                  <c:v>786.02923903053897</c:v>
                </c:pt>
                <c:pt idx="945">
                  <c:v>786.02923903053897</c:v>
                </c:pt>
                <c:pt idx="946">
                  <c:v>786.02923903053897</c:v>
                </c:pt>
                <c:pt idx="947">
                  <c:v>786.02923903053897</c:v>
                </c:pt>
                <c:pt idx="948">
                  <c:v>786.02923903053897</c:v>
                </c:pt>
                <c:pt idx="949">
                  <c:v>786.02923903053897</c:v>
                </c:pt>
                <c:pt idx="950">
                  <c:v>786.02923903053897</c:v>
                </c:pt>
                <c:pt idx="951">
                  <c:v>786.02923903053897</c:v>
                </c:pt>
                <c:pt idx="952">
                  <c:v>786.02923903053897</c:v>
                </c:pt>
                <c:pt idx="953">
                  <c:v>786.02923903053897</c:v>
                </c:pt>
                <c:pt idx="954">
                  <c:v>786.02923903053897</c:v>
                </c:pt>
                <c:pt idx="955">
                  <c:v>786.02923903053897</c:v>
                </c:pt>
                <c:pt idx="956">
                  <c:v>786.02923903053897</c:v>
                </c:pt>
                <c:pt idx="957">
                  <c:v>786.02923903053897</c:v>
                </c:pt>
                <c:pt idx="958">
                  <c:v>786.02923903053897</c:v>
                </c:pt>
                <c:pt idx="959">
                  <c:v>786.02923903053897</c:v>
                </c:pt>
                <c:pt idx="960">
                  <c:v>786.02923903053897</c:v>
                </c:pt>
                <c:pt idx="961">
                  <c:v>786.02923903053897</c:v>
                </c:pt>
                <c:pt idx="962">
                  <c:v>786.02923903053897</c:v>
                </c:pt>
                <c:pt idx="963">
                  <c:v>786.02923903053897</c:v>
                </c:pt>
                <c:pt idx="964">
                  <c:v>786.02923903053897</c:v>
                </c:pt>
                <c:pt idx="965">
                  <c:v>786.02923903053897</c:v>
                </c:pt>
                <c:pt idx="966">
                  <c:v>786.02923903053897</c:v>
                </c:pt>
                <c:pt idx="967">
                  <c:v>786.02923903053897</c:v>
                </c:pt>
                <c:pt idx="968">
                  <c:v>786.02923903053897</c:v>
                </c:pt>
                <c:pt idx="969">
                  <c:v>786.02923903053897</c:v>
                </c:pt>
                <c:pt idx="970">
                  <c:v>786.02923903053897</c:v>
                </c:pt>
                <c:pt idx="971">
                  <c:v>786.02923903053897</c:v>
                </c:pt>
                <c:pt idx="972">
                  <c:v>786.02923903053897</c:v>
                </c:pt>
                <c:pt idx="973">
                  <c:v>786.02923903053897</c:v>
                </c:pt>
                <c:pt idx="974">
                  <c:v>786.02923903053897</c:v>
                </c:pt>
                <c:pt idx="975">
                  <c:v>786.02923903053897</c:v>
                </c:pt>
                <c:pt idx="976">
                  <c:v>786.02923903053897</c:v>
                </c:pt>
                <c:pt idx="977">
                  <c:v>786.02923903053897</c:v>
                </c:pt>
                <c:pt idx="978">
                  <c:v>786.02923903053897</c:v>
                </c:pt>
                <c:pt idx="979">
                  <c:v>786.02923903053897</c:v>
                </c:pt>
                <c:pt idx="980">
                  <c:v>786.02923903053897</c:v>
                </c:pt>
                <c:pt idx="981">
                  <c:v>786.02923903053897</c:v>
                </c:pt>
                <c:pt idx="982">
                  <c:v>786.02923903053897</c:v>
                </c:pt>
                <c:pt idx="983">
                  <c:v>786.02923903053897</c:v>
                </c:pt>
                <c:pt idx="984">
                  <c:v>786.02923903053897</c:v>
                </c:pt>
                <c:pt idx="985">
                  <c:v>786.02923903053897</c:v>
                </c:pt>
                <c:pt idx="986">
                  <c:v>786.02923903053897</c:v>
                </c:pt>
                <c:pt idx="987">
                  <c:v>786.02923903053897</c:v>
                </c:pt>
                <c:pt idx="988">
                  <c:v>786.02923903053897</c:v>
                </c:pt>
                <c:pt idx="989">
                  <c:v>786.02923903053897</c:v>
                </c:pt>
                <c:pt idx="990">
                  <c:v>786.02923903053897</c:v>
                </c:pt>
                <c:pt idx="991">
                  <c:v>786.02923903053897</c:v>
                </c:pt>
                <c:pt idx="992">
                  <c:v>786.02923903053897</c:v>
                </c:pt>
                <c:pt idx="993">
                  <c:v>786.02923903053897</c:v>
                </c:pt>
                <c:pt idx="994">
                  <c:v>786.02923903053897</c:v>
                </c:pt>
                <c:pt idx="995">
                  <c:v>786.02923903053897</c:v>
                </c:pt>
                <c:pt idx="996">
                  <c:v>786.02923903053897</c:v>
                </c:pt>
                <c:pt idx="997">
                  <c:v>786.02923903053897</c:v>
                </c:pt>
                <c:pt idx="998">
                  <c:v>786.02923903053897</c:v>
                </c:pt>
                <c:pt idx="999">
                  <c:v>786.02923903053897</c:v>
                </c:pt>
                <c:pt idx="1000">
                  <c:v>786.02923903053897</c:v>
                </c:pt>
              </c:numCache>
            </c:numRef>
          </c:xVal>
          <c:yVal>
            <c:numRef>
              <c:f>Calculs!$K$4:$K$1004</c:f>
              <c:numCache>
                <c:formatCode>0.00</c:formatCode>
                <c:ptCount val="1001"/>
                <c:pt idx="0">
                  <c:v>0</c:v>
                </c:pt>
                <c:pt idx="1">
                  <c:v>9.5669889931573524E-4</c:v>
                </c:pt>
                <c:pt idx="2">
                  <c:v>7.8147455232856784E-3</c:v>
                </c:pt>
                <c:pt idx="3">
                  <c:v>2.6992684424835094E-2</c:v>
                </c:pt>
                <c:pt idx="4">
                  <c:v>6.0667505481540311E-2</c:v>
                </c:pt>
                <c:pt idx="5">
                  <c:v>0.10833133201655158</c:v>
                </c:pt>
                <c:pt idx="6">
                  <c:v>0.16963037567637684</c:v>
                </c:pt>
                <c:pt idx="7">
                  <c:v>0.24452081130294206</c:v>
                </c:pt>
                <c:pt idx="8">
                  <c:v>0.33311404982606618</c:v>
                </c:pt>
                <c:pt idx="9">
                  <c:v>0.43552155773738688</c:v>
                </c:pt>
                <c:pt idx="10">
                  <c:v>0.55185485461711581</c:v>
                </c:pt>
                <c:pt idx="11">
                  <c:v>0.68220937776239388</c:v>
                </c:pt>
                <c:pt idx="12">
                  <c:v>0.82664829999510614</c:v>
                </c:pt>
                <c:pt idx="13">
                  <c:v>0.98521859103618514</c:v>
                </c:pt>
                <c:pt idx="14">
                  <c:v>1.1579671260518243</c:v>
                </c:pt>
                <c:pt idx="15">
                  <c:v>1.3449406838593987</c:v>
                </c:pt>
                <c:pt idx="16">
                  <c:v>1.5461859451278346</c:v>
                </c:pt>
                <c:pt idx="17">
                  <c:v>1.7617494905725721</c:v>
                </c:pt>
                <c:pt idx="18">
                  <c:v>1.9916777991452683</c:v>
                </c:pt>
                <c:pt idx="19">
                  <c:v>2.2360172462183869</c:v>
                </c:pt>
                <c:pt idx="20">
                  <c:v>2.4948141017648275</c:v>
                </c:pt>
                <c:pt idx="21">
                  <c:v>2.7681080494960266</c:v>
                </c:pt>
                <c:pt idx="22">
                  <c:v>3.0559256875977927</c:v>
                </c:pt>
                <c:pt idx="23">
                  <c:v>3.3582869794392054</c:v>
                </c:pt>
                <c:pt idx="24">
                  <c:v>3.6752117230480756</c:v>
                </c:pt>
                <c:pt idx="25">
                  <c:v>4.006719550019838</c:v>
                </c:pt>
                <c:pt idx="26">
                  <c:v>4.3528151225208758</c:v>
                </c:pt>
                <c:pt idx="27">
                  <c:v>4.7135022929252681</c:v>
                </c:pt>
                <c:pt idx="28">
                  <c:v>5.0887989139176417</c:v>
                </c:pt>
                <c:pt idx="29">
                  <c:v>5.4787226962524684</c:v>
                </c:pt>
                <c:pt idx="30">
                  <c:v>5.8832912166398641</c:v>
                </c:pt>
                <c:pt idx="31">
                  <c:v>6.3025219141642737</c:v>
                </c:pt>
                <c:pt idx="32">
                  <c:v>6.7364320869631626</c:v>
                </c:pt>
                <c:pt idx="33">
                  <c:v>7.1850388891331489</c:v>
                </c:pt>
                <c:pt idx="34">
                  <c:v>7.6483593278361628</c:v>
                </c:pt>
                <c:pt idx="35">
                  <c:v>8.1264102605823965</c:v>
                </c:pt>
                <c:pt idx="36">
                  <c:v>8.6192083926702825</c:v>
                </c:pt>
                <c:pt idx="37">
                  <c:v>9.1267702747665815</c:v>
                </c:pt>
                <c:pt idx="38">
                  <c:v>9.6491123006120247</c:v>
                </c:pt>
                <c:pt idx="39">
                  <c:v>10.186250704839962</c:v>
                </c:pt>
                <c:pt idx="40">
                  <c:v>10.738201560897135</c:v>
                </c:pt>
                <c:pt idx="41">
                  <c:v>11.30497573154603</c:v>
                </c:pt>
                <c:pt idx="42">
                  <c:v>11.886573806987526</c:v>
                </c:pt>
                <c:pt idx="43">
                  <c:v>12.48299113334086</c:v>
                </c:pt>
                <c:pt idx="44">
                  <c:v>13.094222854003295</c:v>
                </c:pt>
                <c:pt idx="45">
                  <c:v>13.720263908657003</c:v>
                </c:pt>
                <c:pt idx="46">
                  <c:v>14.361109032348294</c:v>
                </c:pt>
                <c:pt idx="47">
                  <c:v>15.016752754634005</c:v>
                </c:pt>
                <c:pt idx="48">
                  <c:v>15.687189398790466</c:v>
                </c:pt>
                <c:pt idx="49">
                  <c:v>16.372413081080914</c:v>
                </c:pt>
                <c:pt idx="50">
                  <c:v>17.072417710077747</c:v>
                </c:pt>
                <c:pt idx="51">
                  <c:v>17.787196986036282</c:v>
                </c:pt>
                <c:pt idx="52">
                  <c:v>18.516744400317094</c:v>
                </c:pt>
                <c:pt idx="53">
                  <c:v>19.261053234854291</c:v>
                </c:pt>
                <c:pt idx="54">
                  <c:v>20.020116561667326</c:v>
                </c:pt>
                <c:pt idx="55">
                  <c:v>20.793927242414163</c:v>
                </c:pt>
                <c:pt idx="56">
                  <c:v>21.58247792798387</c:v>
                </c:pt>
                <c:pt idx="57">
                  <c:v>22.385761058126832</c:v>
                </c:pt>
                <c:pt idx="58">
                  <c:v>23.203768861120967</c:v>
                </c:pt>
                <c:pt idx="59">
                  <c:v>24.036493353472483</c:v>
                </c:pt>
                <c:pt idx="60">
                  <c:v>24.883926339649811</c:v>
                </c:pt>
                <c:pt idx="61">
                  <c:v>25.746059411849487</c:v>
                </c:pt>
                <c:pt idx="62">
                  <c:v>26.62288394979284</c:v>
                </c:pt>
                <c:pt idx="63">
                  <c:v>27.514391120552467</c:v>
                </c:pt>
                <c:pt idx="64">
                  <c:v>28.420571878407515</c:v>
                </c:pt>
                <c:pt idx="65">
                  <c:v>29.341416964726893</c:v>
                </c:pt>
                <c:pt idx="66">
                  <c:v>30.276916907879627</c:v>
                </c:pt>
                <c:pt idx="67">
                  <c:v>31.227062023171555</c:v>
                </c:pt>
                <c:pt idx="68">
                  <c:v>32.191842412807688</c:v>
                </c:pt>
                <c:pt idx="69">
                  <c:v>33.171247965879623</c:v>
                </c:pt>
                <c:pt idx="70">
                  <c:v>34.165268358377332</c:v>
                </c:pt>
                <c:pt idx="71">
                  <c:v>35.173893053224816</c:v>
                </c:pt>
                <c:pt idx="72">
                  <c:v>36.197111300339095</c:v>
                </c:pt>
                <c:pt idx="73">
                  <c:v>37.234912136712033</c:v>
                </c:pt>
                <c:pt idx="74">
                  <c:v>38.287284386514528</c:v>
                </c:pt>
                <c:pt idx="75">
                  <c:v>39.354216661222665</c:v>
                </c:pt>
                <c:pt idx="76">
                  <c:v>40.435697359765399</c:v>
                </c:pt>
                <c:pt idx="77">
                  <c:v>41.53171466869339</c:v>
                </c:pt>
                <c:pt idx="78">
                  <c:v>42.642256562368658</c:v>
                </c:pt>
                <c:pt idx="79">
                  <c:v>43.767310803174666</c:v>
                </c:pt>
                <c:pt idx="80">
                  <c:v>44.906864941746555</c:v>
                </c:pt>
                <c:pt idx="81">
                  <c:v>46.060901173973988</c:v>
                </c:pt>
                <c:pt idx="82">
                  <c:v>47.229391188020493</c:v>
                </c:pt>
                <c:pt idx="83">
                  <c:v>48.41230129613966</c:v>
                </c:pt>
                <c:pt idx="84">
                  <c:v>49.609597576989934</c:v>
                </c:pt>
                <c:pt idx="85">
                  <c:v>50.821245876915398</c:v>
                </c:pt>
                <c:pt idx="86">
                  <c:v>52.047211811247202</c:v>
                </c:pt>
                <c:pt idx="87">
                  <c:v>53.287460765625205</c:v>
                </c:pt>
                <c:pt idx="88">
                  <c:v>54.541957897339366</c:v>
                </c:pt>
                <c:pt idx="89">
                  <c:v>55.810668136690488</c:v>
                </c:pt>
                <c:pt idx="90">
                  <c:v>57.093556188369924</c:v>
                </c:pt>
                <c:pt idx="91">
                  <c:v>58.390584258023168</c:v>
                </c:pt>
                <c:pt idx="92">
                  <c:v>59.701709774842016</c:v>
                </c:pt>
                <c:pt idx="93">
                  <c:v>61.026887663502151</c:v>
                </c:pt>
                <c:pt idx="94">
                  <c:v>62.366072620338954</c:v>
                </c:pt>
                <c:pt idx="95">
                  <c:v>63.719219115278584</c:v>
                </c:pt>
                <c:pt idx="96">
                  <c:v>65.086281393785441</c:v>
                </c:pt>
                <c:pt idx="97">
                  <c:v>66.467213478825656</c:v>
                </c:pt>
                <c:pt idx="98">
                  <c:v>67.861969172846131</c:v>
                </c:pt>
                <c:pt idx="99">
                  <c:v>69.27050205976866</c:v>
                </c:pt>
                <c:pt idx="100">
                  <c:v>70.692765506998754</c:v>
                </c:pt>
                <c:pt idx="101">
                  <c:v>72.128712303204182</c:v>
                </c:pt>
                <c:pt idx="102">
                  <c:v>73.578294295543742</c:v>
                </c:pt>
                <c:pt idx="103">
                  <c:v>75.041462755411374</c:v>
                </c:pt>
                <c:pt idx="104">
                  <c:v>76.518168744794778</c:v>
                </c:pt>
                <c:pt idx="105">
                  <c:v>78.00836311842717</c:v>
                </c:pt>
                <c:pt idx="106">
                  <c:v>79.511996525951048</c:v>
                </c:pt>
                <c:pt idx="107">
                  <c:v>81.029019414093682</c:v>
                </c:pt>
                <c:pt idx="108">
                  <c:v>82.559382028853761</c:v>
                </c:pt>
                <c:pt idx="109">
                  <c:v>84.10303441769895</c:v>
                </c:pt>
                <c:pt idx="110">
                  <c:v>85.659926431773883</c:v>
                </c:pt>
                <c:pt idx="111">
                  <c:v>87.23001192631898</c:v>
                </c:pt>
                <c:pt idx="112">
                  <c:v>88.813252966740635</c:v>
                </c:pt>
                <c:pt idx="113">
                  <c:v>90.409615637399767</c:v>
                </c:pt>
                <c:pt idx="114">
                  <c:v>92.01906584435514</c:v>
                </c:pt>
                <c:pt idx="115">
                  <c:v>93.64156931679392</c:v>
                </c:pt>
                <c:pt idx="116">
                  <c:v>95.277091608472546</c:v>
                </c:pt>
                <c:pt idx="117">
                  <c:v>96.925598099167672</c:v>
                </c:pt>
                <c:pt idx="118">
                  <c:v>98.587053996136902</c:v>
                </c:pt>
                <c:pt idx="119">
                  <c:v>100.26142433558914</c:v>
                </c:pt>
                <c:pt idx="120">
                  <c:v>101.94867398416433</c:v>
                </c:pt>
                <c:pt idx="121">
                  <c:v>103.64876066985023</c:v>
                </c:pt>
                <c:pt idx="122">
                  <c:v>105.3616280047659</c:v>
                </c:pt>
                <c:pt idx="123">
                  <c:v>107.08721245174156</c:v>
                </c:pt>
                <c:pt idx="124">
                  <c:v>108.8254502997507</c:v>
                </c:pt>
                <c:pt idx="125">
                  <c:v>110.57627766683351</c:v>
                </c:pt>
                <c:pt idx="126">
                  <c:v>112.33963050302273</c:v>
                </c:pt>
                <c:pt idx="127">
                  <c:v>114.11544459327139</c:v>
                </c:pt>
                <c:pt idx="128">
                  <c:v>115.90365556038202</c:v>
                </c:pt>
                <c:pt idx="129">
                  <c:v>117.70419886793688</c:v>
                </c:pt>
                <c:pt idx="130">
                  <c:v>119.51700982322879</c:v>
                </c:pt>
                <c:pt idx="131">
                  <c:v>121.34202175337278</c:v>
                </c:pt>
                <c:pt idx="132">
                  <c:v>123.17916417971402</c:v>
                </c:pt>
                <c:pt idx="133">
                  <c:v>125.0283646469301</c:v>
                </c:pt>
                <c:pt idx="134">
                  <c:v>126.88955055403305</c:v>
                </c:pt>
                <c:pt idx="135">
                  <c:v>128.76264915769033</c:v>
                </c:pt>
                <c:pt idx="136">
                  <c:v>130.64758757554105</c:v>
                </c:pt>
                <c:pt idx="137">
                  <c:v>132.5442927895073</c:v>
                </c:pt>
                <c:pt idx="138">
                  <c:v>134.45269164909971</c:v>
                </c:pt>
                <c:pt idx="139">
                  <c:v>136.37271087471717</c:v>
                </c:pt>
                <c:pt idx="140">
                  <c:v>138.30427706094005</c:v>
                </c:pt>
                <c:pt idx="141">
                  <c:v>140.24729481493463</c:v>
                </c:pt>
                <c:pt idx="142">
                  <c:v>142.20162488015424</c:v>
                </c:pt>
                <c:pt idx="143">
                  <c:v>144.16710600725878</c:v>
                </c:pt>
                <c:pt idx="144">
                  <c:v>146.14357684261009</c:v>
                </c:pt>
                <c:pt idx="145">
                  <c:v>148.13087593727192</c:v>
                </c:pt>
                <c:pt idx="146">
                  <c:v>150.12884175594004</c:v>
                </c:pt>
                <c:pt idx="147">
                  <c:v>152.13731268580099</c:v>
                </c:pt>
                <c:pt idx="148">
                  <c:v>154.15612704531819</c:v>
                </c:pt>
                <c:pt idx="149">
                  <c:v>156.18512309294394</c:v>
                </c:pt>
                <c:pt idx="150">
                  <c:v>158.22413903575611</c:v>
                </c:pt>
                <c:pt idx="151">
                  <c:v>160.27301303801812</c:v>
                </c:pt>
                <c:pt idx="152">
                  <c:v>162.33158322966094</c:v>
                </c:pt>
                <c:pt idx="153">
                  <c:v>164.39968771468605</c:v>
                </c:pt>
                <c:pt idx="154">
                  <c:v>166.47716457948809</c:v>
                </c:pt>
                <c:pt idx="155">
                  <c:v>168.56385190109609</c:v>
                </c:pt>
                <c:pt idx="156">
                  <c:v>170.65948406873861</c:v>
                </c:pt>
                <c:pt idx="157">
                  <c:v>172.76358810997405</c:v>
                </c:pt>
                <c:pt idx="158">
                  <c:v>174.87558752968414</c:v>
                </c:pt>
                <c:pt idx="159">
                  <c:v>176.99490617163832</c:v>
                </c:pt>
                <c:pt idx="160">
                  <c:v>179.1209682804064</c:v>
                </c:pt>
                <c:pt idx="161">
                  <c:v>181.25306670071873</c:v>
                </c:pt>
                <c:pt idx="162">
                  <c:v>183.39023118914014</c:v>
                </c:pt>
                <c:pt idx="163">
                  <c:v>185.53137327724281</c:v>
                </c:pt>
                <c:pt idx="164">
                  <c:v>187.67543107044997</c:v>
                </c:pt>
                <c:pt idx="165">
                  <c:v>189.82148279423609</c:v>
                </c:pt>
                <c:pt idx="166">
                  <c:v>191.96886013002424</c:v>
                </c:pt>
                <c:pt idx="167">
                  <c:v>194.11692611771124</c:v>
                </c:pt>
                <c:pt idx="168">
                  <c:v>196.26492268820803</c:v>
                </c:pt>
                <c:pt idx="169">
                  <c:v>198.41186894639603</c:v>
                </c:pt>
                <c:pt idx="170">
                  <c:v>200.5565290609434</c:v>
                </c:pt>
                <c:pt idx="171">
                  <c:v>202.69803915135117</c:v>
                </c:pt>
                <c:pt idx="172">
                  <c:v>204.83618618955552</c:v>
                </c:pt>
                <c:pt idx="173">
                  <c:v>206.97097811692322</c:v>
                </c:pt>
                <c:pt idx="174">
                  <c:v>209.10242284155143</c:v>
                </c:pt>
                <c:pt idx="175">
                  <c:v>211.23052823845293</c:v>
                </c:pt>
                <c:pt idx="176">
                  <c:v>213.35530214974031</c:v>
                </c:pt>
                <c:pt idx="177">
                  <c:v>215.47675238480855</c:v>
                </c:pt>
                <c:pt idx="178">
                  <c:v>217.5948867205166</c:v>
                </c:pt>
                <c:pt idx="179">
                  <c:v>219.70971290136751</c:v>
                </c:pt>
                <c:pt idx="180">
                  <c:v>221.82123863968746</c:v>
                </c:pt>
                <c:pt idx="181">
                  <c:v>223.92947161580332</c:v>
                </c:pt>
                <c:pt idx="182">
                  <c:v>226.03441947821921</c:v>
                </c:pt>
                <c:pt idx="183">
                  <c:v>228.13608984379167</c:v>
                </c:pt>
                <c:pt idx="184">
                  <c:v>230.23449029790373</c:v>
                </c:pt>
                <c:pt idx="185">
                  <c:v>232.32962839463764</c:v>
                </c:pt>
                <c:pt idx="186">
                  <c:v>234.42151165694651</c:v>
                </c:pt>
                <c:pt idx="187">
                  <c:v>236.51014757682478</c:v>
                </c:pt>
                <c:pt idx="188">
                  <c:v>238.59554361547742</c:v>
                </c:pt>
                <c:pt idx="189">
                  <c:v>240.67770720348804</c:v>
                </c:pt>
                <c:pt idx="190">
                  <c:v>242.75664574098573</c:v>
                </c:pt>
                <c:pt idx="191">
                  <c:v>244.83236659781096</c:v>
                </c:pt>
                <c:pt idx="192">
                  <c:v>246.90487711368016</c:v>
                </c:pt>
                <c:pt idx="193">
                  <c:v>248.97418459834918</c:v>
                </c:pt>
                <c:pt idx="194">
                  <c:v>251.04029633177583</c:v>
                </c:pt>
                <c:pt idx="195">
                  <c:v>253.10321956428098</c:v>
                </c:pt>
                <c:pt idx="196">
                  <c:v>255.16296151670886</c:v>
                </c:pt>
                <c:pt idx="197">
                  <c:v>257.21952938058615</c:v>
                </c:pt>
                <c:pt idx="198">
                  <c:v>259.27293031827998</c:v>
                </c:pt>
                <c:pt idx="199">
                  <c:v>261.32317146315472</c:v>
                </c:pt>
                <c:pt idx="200">
                  <c:v>263.37025991972808</c:v>
                </c:pt>
                <c:pt idx="201">
                  <c:v>283.66829468346327</c:v>
                </c:pt>
                <c:pt idx="202">
                  <c:v>303.65560741061989</c:v>
                </c:pt>
                <c:pt idx="203">
                  <c:v>323.33903236373135</c:v>
                </c:pt>
                <c:pt idx="204">
                  <c:v>342.72513496630921</c:v>
                </c:pt>
                <c:pt idx="205">
                  <c:v>361.82022568921786</c:v>
                </c:pt>
                <c:pt idx="206">
                  <c:v>380.63037304105472</c:v>
                </c:pt>
                <c:pt idx="207">
                  <c:v>399.16141573136991</c:v>
                </c:pt>
                <c:pt idx="208">
                  <c:v>417.41897406944025</c:v>
                </c:pt>
                <c:pt idx="209">
                  <c:v>435.40846065581081</c:v>
                </c:pt>
                <c:pt idx="210">
                  <c:v>453.1350904188613</c:v>
                </c:pt>
                <c:pt idx="211">
                  <c:v>470.6038900441842</c:v>
                </c:pt>
                <c:pt idx="212">
                  <c:v>487.81970684052635</c:v>
                </c:pt>
                <c:pt idx="213">
                  <c:v>504.78721708239391</c:v>
                </c:pt>
                <c:pt idx="214">
                  <c:v>521.51093386611592</c:v>
                </c:pt>
                <c:pt idx="215">
                  <c:v>537.99521451316571</c:v>
                </c:pt>
                <c:pt idx="216">
                  <c:v>554.24426755181798</c:v>
                </c:pt>
                <c:pt idx="217">
                  <c:v>570.26215930574847</c:v>
                </c:pt>
                <c:pt idx="218">
                  <c:v>586.05282011593454</c:v>
                </c:pt>
                <c:pt idx="219">
                  <c:v>601.62005022016444</c:v>
                </c:pt>
                <c:pt idx="220">
                  <c:v>616.96752531259722</c:v>
                </c:pt>
                <c:pt idx="221">
                  <c:v>632.09880180410789</c:v>
                </c:pt>
                <c:pt idx="222">
                  <c:v>647.01732180259648</c:v>
                </c:pt>
                <c:pt idx="223">
                  <c:v>661.72641783101085</c:v>
                </c:pt>
                <c:pt idx="224">
                  <c:v>676.22931729953143</c:v>
                </c:pt>
                <c:pt idx="225">
                  <c:v>690.52914674716646</c:v>
                </c:pt>
                <c:pt idx="226">
                  <c:v>704.62893586691018</c:v>
                </c:pt>
                <c:pt idx="227">
                  <c:v>718.53162132760872</c:v>
                </c:pt>
                <c:pt idx="228">
                  <c:v>732.24005040475038</c:v>
                </c:pt>
                <c:pt idx="229">
                  <c:v>745.75698443154556</c:v>
                </c:pt>
                <c:pt idx="230">
                  <c:v>759.08510208087625</c:v>
                </c:pt>
                <c:pt idx="231">
                  <c:v>772.22700248797207</c:v>
                </c:pt>
                <c:pt idx="232">
                  <c:v>785.18520822300138</c:v>
                </c:pt>
                <c:pt idx="233">
                  <c:v>797.96216812215118</c:v>
                </c:pt>
                <c:pt idx="234">
                  <c:v>810.56025998519976</c:v>
                </c:pt>
                <c:pt idx="235">
                  <c:v>822.98179314705976</c:v>
                </c:pt>
                <c:pt idx="236">
                  <c:v>835.22901093028247</c:v>
                </c:pt>
                <c:pt idx="237">
                  <c:v>847.30409298506368</c:v>
                </c:pt>
                <c:pt idx="238">
                  <c:v>859.20915752287192</c:v>
                </c:pt>
                <c:pt idx="239">
                  <c:v>870.94626344943447</c:v>
                </c:pt>
                <c:pt idx="240">
                  <c:v>882.51741240245531</c:v>
                </c:pt>
                <c:pt idx="241">
                  <c:v>893.92455069910454</c:v>
                </c:pt>
                <c:pt idx="242">
                  <c:v>905.169571198011</c:v>
                </c:pt>
                <c:pt idx="243">
                  <c:v>916.25431508019699</c:v>
                </c:pt>
                <c:pt idx="244">
                  <c:v>927.18057355312931</c:v>
                </c:pt>
                <c:pt idx="245">
                  <c:v>937.95008948180725</c:v>
                </c:pt>
                <c:pt idx="246">
                  <c:v>948.56455895057707</c:v>
                </c:pt>
                <c:pt idx="247">
                  <c:v>959.02563275914395</c:v>
                </c:pt>
                <c:pt idx="248">
                  <c:v>969.33491785604974</c:v>
                </c:pt>
                <c:pt idx="249">
                  <c:v>979.49397871269559</c:v>
                </c:pt>
                <c:pt idx="250">
                  <c:v>989.5043386408114</c:v>
                </c:pt>
                <c:pt idx="251">
                  <c:v>999.36748105610877</c:v>
                </c:pt>
                <c:pt idx="252">
                  <c:v>1009.0848506906991</c:v>
                </c:pt>
                <c:pt idx="253">
                  <c:v>1018.6578547567143</c:v>
                </c:pt>
                <c:pt idx="254">
                  <c:v>1028.0878640634319</c:v>
                </c:pt>
                <c:pt idx="255">
                  <c:v>1037.3762140900787</c:v>
                </c:pt>
                <c:pt idx="256">
                  <c:v>1046.5242060163703</c:v>
                </c:pt>
                <c:pt idx="257">
                  <c:v>1055.5331077127275</c:v>
                </c:pt>
                <c:pt idx="258">
                  <c:v>1064.4041546920148</c:v>
                </c:pt>
                <c:pt idx="259">
                  <c:v>1073.1385510245357</c:v>
                </c:pt>
                <c:pt idx="260">
                  <c:v>1081.7374702179393</c:v>
                </c:pt>
                <c:pt idx="261">
                  <c:v>1090.2020560635988</c:v>
                </c:pt>
                <c:pt idx="262">
                  <c:v>1098.5334234509421</c:v>
                </c:pt>
                <c:pt idx="263">
                  <c:v>1106.732659151141</c:v>
                </c:pt>
                <c:pt idx="264">
                  <c:v>1114.80082257149</c:v>
                </c:pt>
                <c:pt idx="265">
                  <c:v>1122.7389464817406</c:v>
                </c:pt>
                <c:pt idx="266">
                  <c:v>1130.5480377135914</c:v>
                </c:pt>
                <c:pt idx="267">
                  <c:v>1138.2290778344752</c:v>
                </c:pt>
                <c:pt idx="268">
                  <c:v>1145.7830237967282</c:v>
                </c:pt>
                <c:pt idx="269">
                  <c:v>1153.2108085631705</c:v>
                </c:pt>
                <c:pt idx="270">
                  <c:v>1160.5133417100819</c:v>
                </c:pt>
                <c:pt idx="271">
                  <c:v>1167.6915100085039</c:v>
                </c:pt>
                <c:pt idx="272">
                  <c:v>1174.7461779847579</c:v>
                </c:pt>
                <c:pt idx="273">
                  <c:v>1181.6781884610273</c:v>
                </c:pt>
                <c:pt idx="274">
                  <c:v>1188.4883630768104</c:v>
                </c:pt>
                <c:pt idx="275">
                  <c:v>1195.1775027920141</c:v>
                </c:pt>
                <c:pt idx="276">
                  <c:v>1201.7463883724231</c:v>
                </c:pt>
                <c:pt idx="277">
                  <c:v>1208.1957808582474</c:v>
                </c:pt>
                <c:pt idx="278">
                  <c:v>1214.5264220164181</c:v>
                </c:pt>
                <c:pt idx="279">
                  <c:v>1220.739034777273</c:v>
                </c:pt>
                <c:pt idx="280">
                  <c:v>1226.8343236562464</c:v>
                </c:pt>
                <c:pt idx="281">
                  <c:v>1232.8129751611496</c:v>
                </c:pt>
                <c:pt idx="282">
                  <c:v>1238.6756581856084</c:v>
                </c:pt>
                <c:pt idx="283">
                  <c:v>1244.4230243891961</c:v>
                </c:pt>
                <c:pt idx="284">
                  <c:v>1250.0557085647838</c:v>
                </c:pt>
                <c:pt idx="285">
                  <c:v>1255.5743289936074</c:v>
                </c:pt>
                <c:pt idx="286">
                  <c:v>1260.9794877885349</c:v>
                </c:pt>
                <c:pt idx="287">
                  <c:v>1266.2717712259966</c:v>
                </c:pt>
                <c:pt idx="288">
                  <c:v>1271.4517500670313</c:v>
                </c:pt>
                <c:pt idx="289">
                  <c:v>1276.5199798678821</c:v>
                </c:pt>
                <c:pt idx="290">
                  <c:v>1281.4770012805673</c:v>
                </c:pt>
                <c:pt idx="291">
                  <c:v>1286.3233403438369</c:v>
                </c:pt>
                <c:pt idx="292">
                  <c:v>1291.0595087649178</c:v>
                </c:pt>
                <c:pt idx="293">
                  <c:v>1295.6860041924433</c:v>
                </c:pt>
                <c:pt idx="294">
                  <c:v>1300.2033104809532</c:v>
                </c:pt>
                <c:pt idx="295">
                  <c:v>1304.6118979473474</c:v>
                </c:pt>
                <c:pt idx="296">
                  <c:v>1308.9122236196747</c:v>
                </c:pt>
                <c:pt idx="297">
                  <c:v>1313.1047314786308</c:v>
                </c:pt>
                <c:pt idx="298">
                  <c:v>1317.1898526921482</c:v>
                </c:pt>
                <c:pt idx="299">
                  <c:v>1321.1680058434563</c:v>
                </c:pt>
                <c:pt idx="300">
                  <c:v>1325.0395971529981</c:v>
                </c:pt>
                <c:pt idx="301">
                  <c:v>1328.8050206945975</c:v>
                </c:pt>
                <c:pt idx="302">
                  <c:v>1332.4646586062788</c:v>
                </c:pt>
                <c:pt idx="303">
                  <c:v>1336.0188812961553</c:v>
                </c:pt>
                <c:pt idx="304">
                  <c:v>1339.4680476438182</c:v>
                </c:pt>
                <c:pt idx="305">
                  <c:v>1342.8125051976776</c:v>
                </c:pt>
                <c:pt idx="306">
                  <c:v>1346.0525903687308</c:v>
                </c:pt>
                <c:pt idx="307">
                  <c:v>1349.1886286212577</c:v>
                </c:pt>
                <c:pt idx="308">
                  <c:v>1352.2209346609814</c:v>
                </c:pt>
                <c:pt idx="309">
                  <c:v>1355.1498126212621</c:v>
                </c:pt>
                <c:pt idx="310">
                  <c:v>1357.9755562479399</c:v>
                </c:pt>
                <c:pt idx="311">
                  <c:v>1360.6984490834884</c:v>
                </c:pt>
                <c:pt idx="312">
                  <c:v>1363.3187646511931</c:v>
                </c:pt>
                <c:pt idx="313">
                  <c:v>1365.8367666401339</c:v>
                </c:pt>
                <c:pt idx="314">
                  <c:v>1368.2527090918122</c:v>
                </c:pt>
                <c:pt idx="315">
                  <c:v>1370.5668365893418</c:v>
                </c:pt>
                <c:pt idx="316">
                  <c:v>1372.7793844501955</c:v>
                </c:pt>
                <c:pt idx="317">
                  <c:v>1374.890578923591</c:v>
                </c:pt>
                <c:pt idx="318">
                  <c:v>1376.9006373936827</c:v>
                </c:pt>
                <c:pt idx="319">
                  <c:v>1378.809768589821</c:v>
                </c:pt>
                <c:pt idx="320">
                  <c:v>1380.6181728052304</c:v>
                </c:pt>
                <c:pt idx="321">
                  <c:v>1382.3260421255441</c:v>
                </c:pt>
                <c:pt idx="322">
                  <c:v>1383.9335606687193</c:v>
                </c:pt>
                <c:pt idx="323">
                  <c:v>1385.4409048379175</c:v>
                </c:pt>
                <c:pt idx="324">
                  <c:v>1386.8482435889823</c:v>
                </c:pt>
                <c:pt idx="325">
                  <c:v>1388.1557387141709</c:v>
                </c:pt>
                <c:pt idx="326">
                  <c:v>1389.3635451437672</c:v>
                </c:pt>
                <c:pt idx="327">
                  <c:v>1390.4718112671424</c:v>
                </c:pt>
                <c:pt idx="328">
                  <c:v>1391.4806792746976</c:v>
                </c:pt>
                <c:pt idx="329">
                  <c:v>1392.390285521928</c:v>
                </c:pt>
                <c:pt idx="330">
                  <c:v>1393.2007609165682</c:v>
                </c:pt>
                <c:pt idx="331">
                  <c:v>1393.9122313294231</c:v>
                </c:pt>
                <c:pt idx="332">
                  <c:v>1394.5248180290334</c:v>
                </c:pt>
                <c:pt idx="333">
                  <c:v>1395.0386381398002</c:v>
                </c:pt>
                <c:pt idx="334">
                  <c:v>1395.4538051225873</c:v>
                </c:pt>
                <c:pt idx="335">
                  <c:v>1395.7704292761664</c:v>
                </c:pt>
                <c:pt idx="336">
                  <c:v>1395.9886182571956</c:v>
                </c:pt>
                <c:pt idx="337">
                  <c:v>1396.1084776157461</c:v>
                </c:pt>
                <c:pt idx="338">
                  <c:v>1396.1301113427789</c:v>
                </c:pt>
                <c:pt idx="339">
                  <c:v>1396.0536224254402</c:v>
                </c:pt>
                <c:pt idx="340">
                  <c:v>1395.8791134056396</c:v>
                </c:pt>
                <c:pt idx="341">
                  <c:v>1395.6066869371339</c:v>
                </c:pt>
                <c:pt idx="342">
                  <c:v>1395.236446336261</c:v>
                </c:pt>
                <c:pt idx="343">
                  <c:v>1394.7684961215878</c:v>
                </c:pt>
                <c:pt idx="344">
                  <c:v>1394.2029425380147</c:v>
                </c:pt>
                <c:pt idx="345">
                  <c:v>1393.5398940613209</c:v>
                </c:pt>
                <c:pt idx="346">
                  <c:v>1392.7794618796868</c:v>
                </c:pt>
                <c:pt idx="347">
                  <c:v>1391.9217603493701</c:v>
                </c:pt>
                <c:pt idx="348">
                  <c:v>1390.9669074223887</c:v>
                </c:pt>
                <c:pt idx="349">
                  <c:v>1389.915025044744</c:v>
                </c:pt>
                <c:pt idx="350">
                  <c:v>1388.7662395243651</c:v>
                </c:pt>
                <c:pt idx="351">
                  <c:v>1387.5206818685447</c:v>
                </c:pt>
                <c:pt idx="352">
                  <c:v>1386.1784880911496</c:v>
                </c:pt>
                <c:pt idx="353">
                  <c:v>1384.739799490321</c:v>
                </c:pt>
                <c:pt idx="354">
                  <c:v>1383.204762897713</c:v>
                </c:pt>
                <c:pt idx="355">
                  <c:v>1381.5735309005772</c:v>
                </c:pt>
                <c:pt idx="356">
                  <c:v>1379.8462620381754</c:v>
                </c:pt>
                <c:pt idx="357">
                  <c:v>1378.0231209741062</c:v>
                </c:pt>
                <c:pt idx="358">
                  <c:v>1376.1042786461874</c:v>
                </c:pt>
                <c:pt idx="359">
                  <c:v>1374.0899123955319</c:v>
                </c:pt>
                <c:pt idx="360">
                  <c:v>1371.9802060764262</c:v>
                </c:pt>
                <c:pt idx="361">
                  <c:v>1369.7753501485574</c:v>
                </c:pt>
                <c:pt idx="362">
                  <c:v>1367.4755417530591</c:v>
                </c:pt>
                <c:pt idx="363">
                  <c:v>1365.0809847737514</c:v>
                </c:pt>
                <c:pt idx="364">
                  <c:v>1362.5918898848577</c:v>
                </c:pt>
                <c:pt idx="365">
                  <c:v>1360.0084745863792</c:v>
                </c:pt>
                <c:pt idx="366">
                  <c:v>1357.330963228211</c:v>
                </c:pt>
                <c:pt idx="367">
                  <c:v>1354.559587023987</c:v>
                </c:pt>
                <c:pt idx="368">
                  <c:v>1351.6945840555527</c:v>
                </c:pt>
                <c:pt idx="369">
                  <c:v>1348.7361992688786</c:v>
                </c:pt>
                <c:pt idx="370">
                  <c:v>1345.68468446215</c:v>
                </c:pt>
                <c:pt idx="371">
                  <c:v>1342.5402982666967</c:v>
                </c:pt>
                <c:pt idx="372">
                  <c:v>1339.3033061213591</c:v>
                </c:pt>
                <c:pt idx="373">
                  <c:v>1335.973980240831</c:v>
                </c:pt>
                <c:pt idx="374">
                  <c:v>1332.5525995784622</c:v>
                </c:pt>
                <c:pt idx="375">
                  <c:v>1329.0394497839613</c:v>
                </c:pt>
                <c:pt idx="376">
                  <c:v>1325.4348231563897</c:v>
                </c:pt>
                <c:pt idx="377">
                  <c:v>1321.7390185928043</c:v>
                </c:pt>
                <c:pt idx="378">
                  <c:v>1317.9523415328724</c:v>
                </c:pt>
                <c:pt idx="379">
                  <c:v>1314.0751038997478</c:v>
                </c:pt>
                <c:pt idx="380">
                  <c:v>1310.1076240374753</c:v>
                </c:pt>
                <c:pt idx="381">
                  <c:v>1306.0502266451642</c:v>
                </c:pt>
                <c:pt idx="382">
                  <c:v>1301.9032427081509</c:v>
                </c:pt>
                <c:pt idx="383">
                  <c:v>1297.6670094263507</c:v>
                </c:pt>
                <c:pt idx="384">
                  <c:v>1293.3418701399867</c:v>
                </c:pt>
                <c:pt idx="385">
                  <c:v>1288.9281742528628</c:v>
                </c:pt>
                <c:pt idx="386">
                  <c:v>1284.4262771533404</c:v>
                </c:pt>
                <c:pt idx="387">
                  <c:v>1279.8365401331619</c:v>
                </c:pt>
                <c:pt idx="388">
                  <c:v>1275.1593303042605</c:v>
                </c:pt>
                <c:pt idx="389">
                  <c:v>1270.3950205136782</c:v>
                </c:pt>
                <c:pt idx="390">
                  <c:v>1265.543989256714</c:v>
                </c:pt>
                <c:pt idx="391">
                  <c:v>1260.6066205884108</c:v>
                </c:pt>
                <c:pt idx="392">
                  <c:v>1255.5833040334887</c:v>
                </c:pt>
                <c:pt idx="393">
                  <c:v>1250.4744344948208</c:v>
                </c:pt>
                <c:pt idx="394">
                  <c:v>1245.280412160547</c:v>
                </c:pt>
                <c:pt idx="395">
                  <c:v>1240.0016424099165</c:v>
                </c:pt>
                <c:pt idx="396">
                  <c:v>1234.6385357179413</c:v>
                </c:pt>
                <c:pt idx="397">
                  <c:v>1229.1915075589454</c:v>
                </c:pt>
                <c:pt idx="398">
                  <c:v>1223.660978309086</c:v>
                </c:pt>
                <c:pt idx="399">
                  <c:v>1218.0473731479221</c:v>
                </c:pt>
                <c:pt idx="400">
                  <c:v>1212.3511219591055</c:v>
                </c:pt>
                <c:pt idx="401">
                  <c:v>1206.5726592302601</c:v>
                </c:pt>
                <c:pt idx="402">
                  <c:v>1200.7124239521208</c:v>
                </c:pt>
                <c:pt idx="403">
                  <c:v>1194.7708595169963</c:v>
                </c:pt>
                <c:pt idx="404">
                  <c:v>1188.7484136166188</c:v>
                </c:pt>
                <c:pt idx="405">
                  <c:v>1182.6455381394435</c:v>
                </c:pt>
                <c:pt idx="406">
                  <c:v>1176.4626890674579</c:v>
                </c:pt>
                <c:pt idx="407">
                  <c:v>1170.2003263725594</c:v>
                </c:pt>
                <c:pt idx="408">
                  <c:v>1163.8589139125584</c:v>
                </c:pt>
                <c:pt idx="409">
                  <c:v>1157.4389193268619</c:v>
                </c:pt>
                <c:pt idx="410">
                  <c:v>1150.9408139318939</c:v>
                </c:pt>
                <c:pt idx="411">
                  <c:v>1144.3650726163041</c:v>
                </c:pt>
                <c:pt idx="412">
                  <c:v>1137.7121737360169</c:v>
                </c:pt>
                <c:pt idx="413">
                  <c:v>1130.9825990091726</c:v>
                </c:pt>
                <c:pt idx="414">
                  <c:v>1124.17683341101</c:v>
                </c:pt>
                <c:pt idx="415">
                  <c:v>1117.2953650687382</c:v>
                </c:pt>
                <c:pt idx="416">
                  <c:v>1110.3386851564458</c:v>
                </c:pt>
                <c:pt idx="417">
                  <c:v>1103.3072877900947</c:v>
                </c:pt>
                <c:pt idx="418">
                  <c:v>1096.2016699226424</c:v>
                </c:pt>
                <c:pt idx="419">
                  <c:v>1089.022331239338</c:v>
                </c:pt>
                <c:pt idx="420">
                  <c:v>1081.7697740532362</c:v>
                </c:pt>
                <c:pt idx="421">
                  <c:v>1074.4445032009703</c:v>
                </c:pt>
                <c:pt idx="422">
                  <c:v>1067.0470259388267</c:v>
                </c:pt>
                <c:pt idx="423">
                  <c:v>1059.5778518391612</c:v>
                </c:pt>
                <c:pt idx="424">
                  <c:v>1052.0374926871973</c:v>
                </c:pt>
                <c:pt idx="425">
                  <c:v>1044.4264623782433</c:v>
                </c:pt>
                <c:pt idx="426">
                  <c:v>1036.7452768153694</c:v>
                </c:pt>
                <c:pt idx="427">
                  <c:v>1028.9944538075777</c:v>
                </c:pt>
                <c:pt idx="428">
                  <c:v>1021.1745129685039</c:v>
                </c:pt>
                <c:pt idx="429">
                  <c:v>1013.2859756156847</c:v>
                </c:pt>
                <c:pt idx="430">
                  <c:v>1005.3293646704241</c:v>
                </c:pt>
                <c:pt idx="431">
                  <c:v>997.30520455829333</c:v>
                </c:pt>
                <c:pt idx="432">
                  <c:v>989.21402111029545</c:v>
                </c:pt>
                <c:pt idx="433">
                  <c:v>981.05634146472607</c:v>
                </c:pt>
                <c:pt idx="434">
                  <c:v>972.83269396976141</c:v>
                </c:pt>
                <c:pt idx="435">
                  <c:v>964.54360808680133</c:v>
                </c:pt>
                <c:pt idx="436">
                  <c:v>956.18961429459819</c:v>
                </c:pt>
                <c:pt idx="437">
                  <c:v>947.77124399419688</c:v>
                </c:pt>
                <c:pt idx="438">
                  <c:v>939.28902941471461</c:v>
                </c:pt>
                <c:pt idx="439">
                  <c:v>930.74350351998487</c:v>
                </c:pt>
                <c:pt idx="440">
                  <c:v>922.13519991609132</c:v>
                </c:pt>
                <c:pt idx="441">
                  <c:v>913.46465275981507</c:v>
                </c:pt>
                <c:pt idx="442">
                  <c:v>904.73239666801874</c:v>
                </c:pt>
                <c:pt idx="443">
                  <c:v>895.9389666279892</c:v>
                </c:pt>
                <c:pt idx="444">
                  <c:v>887.08489790876069</c:v>
                </c:pt>
                <c:pt idx="445">
                  <c:v>878.17072597343838</c:v>
                </c:pt>
                <c:pt idx="446">
                  <c:v>869.19698639254204</c:v>
                </c:pt>
                <c:pt idx="447">
                  <c:v>860.16421475838831</c:v>
                </c:pt>
                <c:pt idx="448">
                  <c:v>851.07294660052935</c:v>
                </c:pt>
                <c:pt idx="449">
                  <c:v>841.92371730226546</c:v>
                </c:pt>
                <c:pt idx="450">
                  <c:v>832.71706201824645</c:v>
                </c:pt>
                <c:pt idx="451">
                  <c:v>823.45351559317805</c:v>
                </c:pt>
                <c:pt idx="452">
                  <c:v>814.13361248164733</c:v>
                </c:pt>
                <c:pt idx="453">
                  <c:v>804.75788666908045</c:v>
                </c:pt>
                <c:pt idx="454">
                  <c:v>795.32687159384579</c:v>
                </c:pt>
                <c:pt idx="455">
                  <c:v>785.84110007051424</c:v>
                </c:pt>
                <c:pt idx="456">
                  <c:v>776.30110421428731</c:v>
                </c:pt>
                <c:pt idx="457">
                  <c:v>766.7074153666041</c:v>
                </c:pt>
                <c:pt idx="458">
                  <c:v>757.06056402193587</c:v>
                </c:pt>
                <c:pt idx="459">
                  <c:v>747.3610797557775</c:v>
                </c:pt>
                <c:pt idx="460">
                  <c:v>737.60949115384312</c:v>
                </c:pt>
                <c:pt idx="461">
                  <c:v>727.80632574247397</c:v>
                </c:pt>
                <c:pt idx="462">
                  <c:v>717.95210992026364</c:v>
                </c:pt>
                <c:pt idx="463">
                  <c:v>708.04736889090816</c:v>
                </c:pt>
                <c:pt idx="464">
                  <c:v>698.09262659728381</c:v>
                </c:pt>
                <c:pt idx="465">
                  <c:v>688.08840565675894</c:v>
                </c:pt>
                <c:pt idx="466">
                  <c:v>678.0352272977417</c:v>
                </c:pt>
                <c:pt idx="467">
                  <c:v>667.93361129746768</c:v>
                </c:pt>
                <c:pt idx="468">
                  <c:v>657.78407592102917</c:v>
                </c:pt>
                <c:pt idx="469">
                  <c:v>647.58713786164776</c:v>
                </c:pt>
                <c:pt idx="470">
                  <c:v>637.34331218219063</c:v>
                </c:pt>
                <c:pt idx="471">
                  <c:v>627.05311225793196</c:v>
                </c:pt>
                <c:pt idx="472">
                  <c:v>616.71704972055795</c:v>
                </c:pt>
                <c:pt idx="473">
                  <c:v>606.33563440341516</c:v>
                </c:pt>
                <c:pt idx="474">
                  <c:v>595.90937428800009</c:v>
                </c:pt>
                <c:pt idx="475">
                  <c:v>585.4387754516888</c:v>
                </c:pt>
                <c:pt idx="476">
                  <c:v>574.92434201670255</c:v>
                </c:pt>
                <c:pt idx="477">
                  <c:v>564.36657610030773</c:v>
                </c:pt>
                <c:pt idx="478">
                  <c:v>553.76597776624487</c:v>
                </c:pt>
                <c:pt idx="479">
                  <c:v>543.12304497738376</c:v>
                </c:pt>
                <c:pt idx="480">
                  <c:v>532.43827354959842</c:v>
                </c:pt>
                <c:pt idx="481">
                  <c:v>521.71215710685851</c:v>
                </c:pt>
                <c:pt idx="482">
                  <c:v>510.94518703752948</c:v>
                </c:pt>
                <c:pt idx="483">
                  <c:v>500.13785245187671</c:v>
                </c:pt>
                <c:pt idx="484">
                  <c:v>489.29064014076596</c:v>
                </c:pt>
                <c:pt idx="485">
                  <c:v>478.40403453555393</c:v>
                </c:pt>
                <c:pt idx="486">
                  <c:v>467.47851766916062</c:v>
                </c:pt>
                <c:pt idx="487">
                  <c:v>456.51456913831601</c:v>
                </c:pt>
                <c:pt idx="488">
                  <c:v>445.51266606697266</c:v>
                </c:pt>
                <c:pt idx="489">
                  <c:v>434.47328307087542</c:v>
                </c:pt>
                <c:pt idx="490">
                  <c:v>423.39689222327951</c:v>
                </c:pt>
                <c:pt idx="491">
                  <c:v>412.28396302180721</c:v>
                </c:pt>
                <c:pt idx="492">
                  <c:v>401.13496235643362</c:v>
                </c:pt>
                <c:pt idx="493">
                  <c:v>389.95035447859135</c:v>
                </c:pt>
                <c:pt idx="494">
                  <c:v>378.73060097138415</c:v>
                </c:pt>
                <c:pt idx="495">
                  <c:v>367.47616072089801</c:v>
                </c:pt>
                <c:pt idx="496">
                  <c:v>356.18748988859988</c:v>
                </c:pt>
                <c:pt idx="497">
                  <c:v>344.86504188481189</c:v>
                </c:pt>
                <c:pt idx="498">
                  <c:v>333.50926734325026</c:v>
                </c:pt>
                <c:pt idx="499">
                  <c:v>322.12061409661669</c:v>
                </c:pt>
                <c:pt idx="500">
                  <c:v>310.69952715323097</c:v>
                </c:pt>
                <c:pt idx="501">
                  <c:v>299.24644867469198</c:v>
                </c:pt>
                <c:pt idx="502">
                  <c:v>287.76181795455523</c:v>
                </c:pt>
                <c:pt idx="503">
                  <c:v>276.24607139801435</c:v>
                </c:pt>
                <c:pt idx="504">
                  <c:v>264.69964250257374</c:v>
                </c:pt>
                <c:pt idx="505">
                  <c:v>253.12296183969957</c:v>
                </c:pt>
                <c:pt idx="506">
                  <c:v>241.51645703743606</c:v>
                </c:pt>
                <c:pt idx="507">
                  <c:v>229.88055276397409</c:v>
                </c:pt>
                <c:pt idx="508">
                  <c:v>218.21567071215858</c:v>
                </c:pt>
                <c:pt idx="509">
                  <c:v>206.52222958492152</c:v>
                </c:pt>
                <c:pt idx="510">
                  <c:v>194.80064508162684</c:v>
                </c:pt>
                <c:pt idx="511">
                  <c:v>183.05132988531386</c:v>
                </c:pt>
                <c:pt idx="512">
                  <c:v>171.27469365082527</c:v>
                </c:pt>
                <c:pt idx="513">
                  <c:v>159.47114299380607</c:v>
                </c:pt>
                <c:pt idx="514">
                  <c:v>147.64108148055965</c:v>
                </c:pt>
                <c:pt idx="515">
                  <c:v>135.78490961874695</c:v>
                </c:pt>
                <c:pt idx="516">
                  <c:v>123.90302484891491</c:v>
                </c:pt>
                <c:pt idx="517">
                  <c:v>111.99582153684011</c:v>
                </c:pt>
                <c:pt idx="518">
                  <c:v>100.06369096667359</c:v>
                </c:pt>
                <c:pt idx="519">
                  <c:v>88.107021334872911</c:v>
                </c:pt>
                <c:pt idx="520">
                  <c:v>76.126197744907174</c:v>
                </c:pt>
                <c:pt idx="521">
                  <c:v>64.12160220272122</c:v>
                </c:pt>
                <c:pt idx="522">
                  <c:v>52.093613612944687</c:v>
                </c:pt>
                <c:pt idx="523">
                  <c:v>40.042607775832025</c:v>
                </c:pt>
                <c:pt idx="524">
                  <c:v>27.968957384919399</c:v>
                </c:pt>
                <c:pt idx="525">
                  <c:v>15.873032025384418</c:v>
                </c:pt>
                <c:pt idx="526">
                  <c:v>3.7551981730947972</c:v>
                </c:pt>
                <c:pt idx="527">
                  <c:v>-8.3841808056680662</c:v>
                </c:pt>
                <c:pt idx="528">
                  <c:v>-8.396330877259949</c:v>
                </c:pt>
                <c:pt idx="529">
                  <c:v>-8.4084809698571732</c:v>
                </c:pt>
                <c:pt idx="530">
                  <c:v>-8.4206310834593818</c:v>
                </c:pt>
                <c:pt idx="531">
                  <c:v>-8.4327812180662214</c:v>
                </c:pt>
                <c:pt idx="532">
                  <c:v>-8.4449313736773366</c:v>
                </c:pt>
                <c:pt idx="533">
                  <c:v>-8.457081550292374</c:v>
                </c:pt>
                <c:pt idx="534">
                  <c:v>-8.4692317479109764</c:v>
                </c:pt>
                <c:pt idx="535">
                  <c:v>-8.4813819665327905</c:v>
                </c:pt>
                <c:pt idx="536">
                  <c:v>-8.493532206157461</c:v>
                </c:pt>
                <c:pt idx="537">
                  <c:v>-8.5056824667846342</c:v>
                </c:pt>
                <c:pt idx="538">
                  <c:v>-8.5178327484139533</c:v>
                </c:pt>
                <c:pt idx="539">
                  <c:v>-8.5299830510450647</c:v>
                </c:pt>
                <c:pt idx="540">
                  <c:v>-8.5421333746776131</c:v>
                </c:pt>
                <c:pt idx="541">
                  <c:v>-8.5542837193112433</c:v>
                </c:pt>
                <c:pt idx="542">
                  <c:v>-8.5664340849456</c:v>
                </c:pt>
                <c:pt idx="543">
                  <c:v>-8.5785844715803297</c:v>
                </c:pt>
                <c:pt idx="544">
                  <c:v>-8.5907348792150771</c:v>
                </c:pt>
                <c:pt idx="545">
                  <c:v>-8.6028853078494869</c:v>
                </c:pt>
                <c:pt idx="546">
                  <c:v>-8.6150357574832039</c:v>
                </c:pt>
                <c:pt idx="547">
                  <c:v>-8.6271862281158747</c:v>
                </c:pt>
                <c:pt idx="548">
                  <c:v>-8.6393367197471438</c:v>
                </c:pt>
                <c:pt idx="549">
                  <c:v>-8.6514872323766561</c:v>
                </c:pt>
                <c:pt idx="550">
                  <c:v>-8.6636377660040562</c:v>
                </c:pt>
                <c:pt idx="551">
                  <c:v>-8.6757883206289907</c:v>
                </c:pt>
                <c:pt idx="552">
                  <c:v>-8.6879388962511026</c:v>
                </c:pt>
                <c:pt idx="553">
                  <c:v>-8.7000894928700401</c:v>
                </c:pt>
                <c:pt idx="554">
                  <c:v>-8.7122401104854461</c:v>
                </c:pt>
                <c:pt idx="555">
                  <c:v>-8.7243907490969654</c:v>
                </c:pt>
                <c:pt idx="556">
                  <c:v>-8.7365414087042446</c:v>
                </c:pt>
                <c:pt idx="557">
                  <c:v>-8.7486920893069282</c:v>
                </c:pt>
                <c:pt idx="558">
                  <c:v>-8.7608427909046629</c:v>
                </c:pt>
                <c:pt idx="559">
                  <c:v>-8.7729935134970916</c:v>
                </c:pt>
                <c:pt idx="560">
                  <c:v>-8.7851442570838607</c:v>
                </c:pt>
                <c:pt idx="561">
                  <c:v>-8.7972950216646151</c:v>
                </c:pt>
                <c:pt idx="562">
                  <c:v>-8.8094458072390012</c:v>
                </c:pt>
                <c:pt idx="563">
                  <c:v>-8.8215966138066637</c:v>
                </c:pt>
                <c:pt idx="564">
                  <c:v>-8.8337474413672457</c:v>
                </c:pt>
                <c:pt idx="565">
                  <c:v>-8.8458982899203953</c:v>
                </c:pt>
                <c:pt idx="566">
                  <c:v>-8.8580491594657556</c:v>
                </c:pt>
                <c:pt idx="567">
                  <c:v>-8.870200050002973</c:v>
                </c:pt>
                <c:pt idx="568">
                  <c:v>-8.8823509615316922</c:v>
                </c:pt>
                <c:pt idx="569">
                  <c:v>-8.8945018940515581</c:v>
                </c:pt>
                <c:pt idx="570">
                  <c:v>-8.9066528475622171</c:v>
                </c:pt>
                <c:pt idx="571">
                  <c:v>-8.9188038220633139</c:v>
                </c:pt>
                <c:pt idx="572">
                  <c:v>-8.9309548175544933</c:v>
                </c:pt>
                <c:pt idx="573">
                  <c:v>-8.9431058340354017</c:v>
                </c:pt>
                <c:pt idx="574">
                  <c:v>-8.9552568715056822</c:v>
                </c:pt>
                <c:pt idx="575">
                  <c:v>-8.9674079299649812</c:v>
                </c:pt>
                <c:pt idx="576">
                  <c:v>-8.9795590094129452</c:v>
                </c:pt>
                <c:pt idx="577">
                  <c:v>-8.9917101098492171</c:v>
                </c:pt>
                <c:pt idx="578">
                  <c:v>-9.0038612312734436</c:v>
                </c:pt>
                <c:pt idx="579">
                  <c:v>-9.0160123736852693</c:v>
                </c:pt>
                <c:pt idx="580">
                  <c:v>-9.0281635370843407</c:v>
                </c:pt>
                <c:pt idx="581">
                  <c:v>-9.0403147214703026</c:v>
                </c:pt>
                <c:pt idx="582">
                  <c:v>-9.0524659268427996</c:v>
                </c:pt>
                <c:pt idx="583">
                  <c:v>-9.0646171532014765</c:v>
                </c:pt>
                <c:pt idx="584">
                  <c:v>-9.0767684005459799</c:v>
                </c:pt>
                <c:pt idx="585">
                  <c:v>-9.0889196688759544</c:v>
                </c:pt>
                <c:pt idx="586">
                  <c:v>-9.1010709581910447</c:v>
                </c:pt>
                <c:pt idx="587">
                  <c:v>-9.1132222684908974</c:v>
                </c:pt>
                <c:pt idx="588">
                  <c:v>-9.1253735997751573</c:v>
                </c:pt>
                <c:pt idx="589">
                  <c:v>-9.1375249520434689</c:v>
                </c:pt>
                <c:pt idx="590">
                  <c:v>-9.1496763252954789</c:v>
                </c:pt>
                <c:pt idx="591">
                  <c:v>-9.161827719530832</c:v>
                </c:pt>
                <c:pt idx="592">
                  <c:v>-9.1739791347491728</c:v>
                </c:pt>
                <c:pt idx="593">
                  <c:v>-9.186130570950148</c:v>
                </c:pt>
                <c:pt idx="594">
                  <c:v>-9.1982820281334003</c:v>
                </c:pt>
                <c:pt idx="595">
                  <c:v>-9.2104335062985783</c:v>
                </c:pt>
                <c:pt idx="596">
                  <c:v>-9.2225850054453247</c:v>
                </c:pt>
                <c:pt idx="597">
                  <c:v>-9.2347365255732861</c:v>
                </c:pt>
                <c:pt idx="598">
                  <c:v>-9.2468880666821072</c:v>
                </c:pt>
                <c:pt idx="599">
                  <c:v>-9.2590396287714345</c:v>
                </c:pt>
                <c:pt idx="600">
                  <c:v>-9.2711912118409128</c:v>
                </c:pt>
                <c:pt idx="601">
                  <c:v>-9.2833428158901867</c:v>
                </c:pt>
                <c:pt idx="602">
                  <c:v>-9.2954944409189011</c:v>
                </c:pt>
                <c:pt idx="603">
                  <c:v>-9.3076460869267024</c:v>
                </c:pt>
                <c:pt idx="604">
                  <c:v>-9.3197977539132353</c:v>
                </c:pt>
                <c:pt idx="605">
                  <c:v>-9.3319494418781463</c:v>
                </c:pt>
                <c:pt idx="606">
                  <c:v>-9.3441011508210803</c:v>
                </c:pt>
                <c:pt idx="607">
                  <c:v>-9.3562528807416818</c:v>
                </c:pt>
                <c:pt idx="608">
                  <c:v>-9.3684046316395975</c:v>
                </c:pt>
                <c:pt idx="609">
                  <c:v>-9.3805564035144702</c:v>
                </c:pt>
                <c:pt idx="610">
                  <c:v>-9.3927081963659482</c:v>
                </c:pt>
                <c:pt idx="611">
                  <c:v>-9.4048600101936746</c:v>
                </c:pt>
                <c:pt idx="612">
                  <c:v>-9.4170118449972957</c:v>
                </c:pt>
                <c:pt idx="613">
                  <c:v>-9.4291637007764582</c:v>
                </c:pt>
                <c:pt idx="614">
                  <c:v>-9.4413155775308049</c:v>
                </c:pt>
                <c:pt idx="615">
                  <c:v>-9.4534674752599823</c:v>
                </c:pt>
                <c:pt idx="616">
                  <c:v>-9.4656193939636371</c:v>
                </c:pt>
                <c:pt idx="617">
                  <c:v>-9.477771333641412</c:v>
                </c:pt>
                <c:pt idx="618">
                  <c:v>-9.4899232942929554</c:v>
                </c:pt>
                <c:pt idx="619">
                  <c:v>-9.5020752759179103</c:v>
                </c:pt>
                <c:pt idx="620">
                  <c:v>-9.5142272785159232</c:v>
                </c:pt>
                <c:pt idx="621">
                  <c:v>-9.5263793020866387</c:v>
                </c:pt>
                <c:pt idx="622">
                  <c:v>-9.5385313466297035</c:v>
                </c:pt>
                <c:pt idx="623">
                  <c:v>-9.5506834121447621</c:v>
                </c:pt>
                <c:pt idx="624">
                  <c:v>-9.5628354986314594</c:v>
                </c:pt>
                <c:pt idx="625">
                  <c:v>-9.5749876060894419</c:v>
                </c:pt>
                <c:pt idx="626">
                  <c:v>-9.5871397345183542</c:v>
                </c:pt>
                <c:pt idx="627">
                  <c:v>-9.5992918839178412</c:v>
                </c:pt>
                <c:pt idx="628">
                  <c:v>-9.6114440542875492</c:v>
                </c:pt>
                <c:pt idx="629">
                  <c:v>-9.6235962456271249</c:v>
                </c:pt>
                <c:pt idx="630">
                  <c:v>-9.6357484579362112</c:v>
                </c:pt>
                <c:pt idx="631">
                  <c:v>-9.6479006912144545</c:v>
                </c:pt>
                <c:pt idx="632">
                  <c:v>-9.6600529454615014</c:v>
                </c:pt>
                <c:pt idx="633">
                  <c:v>-9.6722052206769948</c:v>
                </c:pt>
                <c:pt idx="634">
                  <c:v>-9.6843575168605831</c:v>
                </c:pt>
                <c:pt idx="635">
                  <c:v>-9.6965098340119091</c:v>
                </c:pt>
                <c:pt idx="636">
                  <c:v>-9.7086621721306194</c:v>
                </c:pt>
                <c:pt idx="637">
                  <c:v>-9.7208145312163587</c:v>
                </c:pt>
                <c:pt idx="638">
                  <c:v>-9.7329669112687736</c:v>
                </c:pt>
                <c:pt idx="639">
                  <c:v>-9.7451193122875086</c:v>
                </c:pt>
                <c:pt idx="640">
                  <c:v>-9.7572717342722104</c:v>
                </c:pt>
                <c:pt idx="641">
                  <c:v>-9.7694241772225237</c:v>
                </c:pt>
                <c:pt idx="642">
                  <c:v>-9.7815766411380931</c:v>
                </c:pt>
                <c:pt idx="643">
                  <c:v>-9.7937291260185653</c:v>
                </c:pt>
                <c:pt idx="644">
                  <c:v>-9.8058816318635849</c:v>
                </c:pt>
                <c:pt idx="645">
                  <c:v>-9.8180341586727984</c:v>
                </c:pt>
                <c:pt idx="646">
                  <c:v>-9.8301867064458506</c:v>
                </c:pt>
                <c:pt idx="647">
                  <c:v>-9.8423392751823862</c:v>
                </c:pt>
                <c:pt idx="648">
                  <c:v>-9.8544918648820516</c:v>
                </c:pt>
                <c:pt idx="649">
                  <c:v>-9.8666444755444918</c:v>
                </c:pt>
                <c:pt idx="650">
                  <c:v>-9.878797107169353</c:v>
                </c:pt>
                <c:pt idx="651">
                  <c:v>-9.8909497597562801</c:v>
                </c:pt>
                <c:pt idx="652">
                  <c:v>-9.9031024333049196</c:v>
                </c:pt>
                <c:pt idx="653">
                  <c:v>-9.9152551278149161</c:v>
                </c:pt>
                <c:pt idx="654">
                  <c:v>-9.9274078432859145</c:v>
                </c:pt>
                <c:pt idx="655">
                  <c:v>-9.9395605797175612</c:v>
                </c:pt>
                <c:pt idx="656">
                  <c:v>-9.951713337109501</c:v>
                </c:pt>
                <c:pt idx="657">
                  <c:v>-9.9638661154613803</c:v>
                </c:pt>
                <c:pt idx="658">
                  <c:v>-9.976018914772844</c:v>
                </c:pt>
                <c:pt idx="659">
                  <c:v>-9.9881717350435366</c:v>
                </c:pt>
                <c:pt idx="660">
                  <c:v>-10.000324576273105</c:v>
                </c:pt>
                <c:pt idx="661">
                  <c:v>-10.012477438461195</c:v>
                </c:pt>
                <c:pt idx="662">
                  <c:v>-10.024630321607452</c:v>
                </c:pt>
                <c:pt idx="663">
                  <c:v>-10.03678322571152</c:v>
                </c:pt>
                <c:pt idx="664">
                  <c:v>-10.048936150773047</c:v>
                </c:pt>
                <c:pt idx="665">
                  <c:v>-10.061089096791676</c:v>
                </c:pt>
                <c:pt idx="666">
                  <c:v>-10.073242063767054</c:v>
                </c:pt>
                <c:pt idx="667">
                  <c:v>-10.085395051698827</c:v>
                </c:pt>
                <c:pt idx="668">
                  <c:v>-10.097548060586638</c:v>
                </c:pt>
                <c:pt idx="669">
                  <c:v>-10.109701090430134</c:v>
                </c:pt>
                <c:pt idx="670">
                  <c:v>-10.121854141228962</c:v>
                </c:pt>
                <c:pt idx="671">
                  <c:v>-10.134007212982764</c:v>
                </c:pt>
                <c:pt idx="672">
                  <c:v>-10.14616030569119</c:v>
                </c:pt>
                <c:pt idx="673">
                  <c:v>-10.158313419353883</c:v>
                </c:pt>
                <c:pt idx="674">
                  <c:v>-10.170466553970488</c:v>
                </c:pt>
                <c:pt idx="675">
                  <c:v>-10.182619709540653</c:v>
                </c:pt>
                <c:pt idx="676">
                  <c:v>-10.194772886064021</c:v>
                </c:pt>
                <c:pt idx="677">
                  <c:v>-10.206926083540237</c:v>
                </c:pt>
                <c:pt idx="678">
                  <c:v>-10.21907930196895</c:v>
                </c:pt>
                <c:pt idx="679">
                  <c:v>-10.231232541349803</c:v>
                </c:pt>
                <c:pt idx="680">
                  <c:v>-10.243385801682441</c:v>
                </c:pt>
                <c:pt idx="681">
                  <c:v>-10.255539082966513</c:v>
                </c:pt>
                <c:pt idx="682">
                  <c:v>-10.267692385201661</c:v>
                </c:pt>
                <c:pt idx="683">
                  <c:v>-10.279845708387532</c:v>
                </c:pt>
                <c:pt idx="684">
                  <c:v>-10.291999052523771</c:v>
                </c:pt>
                <c:pt idx="685">
                  <c:v>-10.304152417610025</c:v>
                </c:pt>
                <c:pt idx="686">
                  <c:v>-10.316305803645939</c:v>
                </c:pt>
                <c:pt idx="687">
                  <c:v>-10.328459210631157</c:v>
                </c:pt>
                <c:pt idx="688">
                  <c:v>-10.340612638565327</c:v>
                </c:pt>
                <c:pt idx="689">
                  <c:v>-10.352766087448092</c:v>
                </c:pt>
                <c:pt idx="690">
                  <c:v>-10.3649195572791</c:v>
                </c:pt>
                <c:pt idx="691">
                  <c:v>-10.377073048057996</c:v>
                </c:pt>
                <c:pt idx="692">
                  <c:v>-10.389226559784424</c:v>
                </c:pt>
                <c:pt idx="693">
                  <c:v>-10.401380092458032</c:v>
                </c:pt>
                <c:pt idx="694">
                  <c:v>-10.413533646078465</c:v>
                </c:pt>
                <c:pt idx="695">
                  <c:v>-10.425687220645367</c:v>
                </c:pt>
                <c:pt idx="696">
                  <c:v>-10.437840816158385</c:v>
                </c:pt>
                <c:pt idx="697">
                  <c:v>-10.449994432617164</c:v>
                </c:pt>
                <c:pt idx="698">
                  <c:v>-10.46214807002135</c:v>
                </c:pt>
                <c:pt idx="699">
                  <c:v>-10.474301728370587</c:v>
                </c:pt>
                <c:pt idx="700">
                  <c:v>-10.486455407664524</c:v>
                </c:pt>
                <c:pt idx="701">
                  <c:v>-10.498609107902803</c:v>
                </c:pt>
                <c:pt idx="702">
                  <c:v>-10.510762829085072</c:v>
                </c:pt>
                <c:pt idx="703">
                  <c:v>-10.522916571210978</c:v>
                </c:pt>
                <c:pt idx="704">
                  <c:v>-10.535070334280164</c:v>
                </c:pt>
                <c:pt idx="705">
                  <c:v>-10.547224118292275</c:v>
                </c:pt>
                <c:pt idx="706">
                  <c:v>-10.559377923246959</c:v>
                </c:pt>
                <c:pt idx="707">
                  <c:v>-10.57153174914386</c:v>
                </c:pt>
                <c:pt idx="708">
                  <c:v>-10.583685595982624</c:v>
                </c:pt>
                <c:pt idx="709">
                  <c:v>-10.595839463762898</c:v>
                </c:pt>
                <c:pt idx="710">
                  <c:v>-10.607993352484327</c:v>
                </c:pt>
                <c:pt idx="711">
                  <c:v>-10.620147262146554</c:v>
                </c:pt>
                <c:pt idx="712">
                  <c:v>-10.632301192749228</c:v>
                </c:pt>
                <c:pt idx="713">
                  <c:v>-10.644455144291994</c:v>
                </c:pt>
                <c:pt idx="714">
                  <c:v>-10.656609116774497</c:v>
                </c:pt>
                <c:pt idx="715">
                  <c:v>-10.668763110196384</c:v>
                </c:pt>
                <c:pt idx="716">
                  <c:v>-10.680917124557299</c:v>
                </c:pt>
                <c:pt idx="717">
                  <c:v>-10.693071159856888</c:v>
                </c:pt>
                <c:pt idx="718">
                  <c:v>-10.705225216094798</c:v>
                </c:pt>
                <c:pt idx="719">
                  <c:v>-10.717379293270673</c:v>
                </c:pt>
                <c:pt idx="720">
                  <c:v>-10.729533391384159</c:v>
                </c:pt>
                <c:pt idx="721">
                  <c:v>-10.741687510434902</c:v>
                </c:pt>
                <c:pt idx="722">
                  <c:v>-10.753841650422547</c:v>
                </c:pt>
                <c:pt idx="723">
                  <c:v>-10.765995811346741</c:v>
                </c:pt>
                <c:pt idx="724">
                  <c:v>-10.77814999320713</c:v>
                </c:pt>
                <c:pt idx="725">
                  <c:v>-10.790304196003358</c:v>
                </c:pt>
                <c:pt idx="726">
                  <c:v>-10.802458419735071</c:v>
                </c:pt>
                <c:pt idx="727">
                  <c:v>-10.814612664401917</c:v>
                </c:pt>
                <c:pt idx="728">
                  <c:v>-10.826766930003538</c:v>
                </c:pt>
                <c:pt idx="729">
                  <c:v>-10.838921216539584</c:v>
                </c:pt>
                <c:pt idx="730">
                  <c:v>-10.851075524009696</c:v>
                </c:pt>
                <c:pt idx="731">
                  <c:v>-10.863229852413523</c:v>
                </c:pt>
                <c:pt idx="732">
                  <c:v>-10.875384201750711</c:v>
                </c:pt>
                <c:pt idx="733">
                  <c:v>-10.887538572020903</c:v>
                </c:pt>
                <c:pt idx="734">
                  <c:v>-10.899692963223746</c:v>
                </c:pt>
                <c:pt idx="735">
                  <c:v>-10.911847375358887</c:v>
                </c:pt>
                <c:pt idx="736">
                  <c:v>-10.92400180842597</c:v>
                </c:pt>
                <c:pt idx="737">
                  <c:v>-10.936156262424642</c:v>
                </c:pt>
                <c:pt idx="738">
                  <c:v>-10.948310737354548</c:v>
                </c:pt>
                <c:pt idx="739">
                  <c:v>-10.960465233215334</c:v>
                </c:pt>
                <c:pt idx="740">
                  <c:v>-10.972619750006647</c:v>
                </c:pt>
                <c:pt idx="741">
                  <c:v>-10.984774287728131</c:v>
                </c:pt>
                <c:pt idx="742">
                  <c:v>-10.996928846379433</c:v>
                </c:pt>
                <c:pt idx="743">
                  <c:v>-11.009083425960197</c:v>
                </c:pt>
                <c:pt idx="744">
                  <c:v>-11.021238026470071</c:v>
                </c:pt>
                <c:pt idx="745">
                  <c:v>-11.033392647908698</c:v>
                </c:pt>
                <c:pt idx="746">
                  <c:v>-11.045547290275726</c:v>
                </c:pt>
                <c:pt idx="747">
                  <c:v>-11.057701953570801</c:v>
                </c:pt>
                <c:pt idx="748">
                  <c:v>-11.069856637793567</c:v>
                </c:pt>
                <c:pt idx="749">
                  <c:v>-11.08201134294367</c:v>
                </c:pt>
                <c:pt idx="750">
                  <c:v>-11.094166069020757</c:v>
                </c:pt>
                <c:pt idx="751">
                  <c:v>-11.106320816024473</c:v>
                </c:pt>
                <c:pt idx="752">
                  <c:v>-11.118475583954464</c:v>
                </c:pt>
                <c:pt idx="753">
                  <c:v>-11.130630372810375</c:v>
                </c:pt>
                <c:pt idx="754">
                  <c:v>-11.142785182591853</c:v>
                </c:pt>
                <c:pt idx="755">
                  <c:v>-11.154940013298543</c:v>
                </c:pt>
                <c:pt idx="756">
                  <c:v>-11.167094864930091</c:v>
                </c:pt>
                <c:pt idx="757">
                  <c:v>-11.179249737486144</c:v>
                </c:pt>
                <c:pt idx="758">
                  <c:v>-11.191404630966346</c:v>
                </c:pt>
                <c:pt idx="759">
                  <c:v>-11.203559545370345</c:v>
                </c:pt>
                <c:pt idx="760">
                  <c:v>-11.215714480697784</c:v>
                </c:pt>
                <c:pt idx="761">
                  <c:v>-11.227869436948311</c:v>
                </c:pt>
                <c:pt idx="762">
                  <c:v>-11.240024414121571</c:v>
                </c:pt>
                <c:pt idx="763">
                  <c:v>-11.25217941221721</c:v>
                </c:pt>
                <c:pt idx="764">
                  <c:v>-11.264334431234873</c:v>
                </c:pt>
                <c:pt idx="765">
                  <c:v>-11.276489471174207</c:v>
                </c:pt>
                <c:pt idx="766">
                  <c:v>-11.288644532034857</c:v>
                </c:pt>
                <c:pt idx="767">
                  <c:v>-11.300799613816469</c:v>
                </c:pt>
                <c:pt idx="768">
                  <c:v>-11.312954716518689</c:v>
                </c:pt>
                <c:pt idx="769">
                  <c:v>-11.325109840141163</c:v>
                </c:pt>
                <c:pt idx="770">
                  <c:v>-11.337264984683538</c:v>
                </c:pt>
                <c:pt idx="771">
                  <c:v>-11.349420150145457</c:v>
                </c:pt>
                <c:pt idx="772">
                  <c:v>-11.361575336526569</c:v>
                </c:pt>
                <c:pt idx="773">
                  <c:v>-11.373730543826516</c:v>
                </c:pt>
                <c:pt idx="774">
                  <c:v>-11.385885772044947</c:v>
                </c:pt>
                <c:pt idx="775">
                  <c:v>-11.398041021181507</c:v>
                </c:pt>
                <c:pt idx="776">
                  <c:v>-11.410196291235842</c:v>
                </c:pt>
                <c:pt idx="777">
                  <c:v>-11.422351582207597</c:v>
                </c:pt>
                <c:pt idx="778">
                  <c:v>-11.434506894096419</c:v>
                </c:pt>
                <c:pt idx="779">
                  <c:v>-11.446662226901953</c:v>
                </c:pt>
                <c:pt idx="780">
                  <c:v>-11.458817580623846</c:v>
                </c:pt>
                <c:pt idx="781">
                  <c:v>-11.470972955261743</c:v>
                </c:pt>
                <c:pt idx="782">
                  <c:v>-11.48312835081529</c:v>
                </c:pt>
                <c:pt idx="783">
                  <c:v>-11.495283767284134</c:v>
                </c:pt>
                <c:pt idx="784">
                  <c:v>-11.507439204667918</c:v>
                </c:pt>
                <c:pt idx="785">
                  <c:v>-11.51959466296629</c:v>
                </c:pt>
                <c:pt idx="786">
                  <c:v>-11.531750142178895</c:v>
                </c:pt>
                <c:pt idx="787">
                  <c:v>-11.543905642305381</c:v>
                </c:pt>
                <c:pt idx="788">
                  <c:v>-11.556061163345392</c:v>
                </c:pt>
                <c:pt idx="789">
                  <c:v>-11.568216705298575</c:v>
                </c:pt>
                <c:pt idx="790">
                  <c:v>-11.580372268164574</c:v>
                </c:pt>
                <c:pt idx="791">
                  <c:v>-11.592527851943036</c:v>
                </c:pt>
                <c:pt idx="792">
                  <c:v>-11.604683456633607</c:v>
                </c:pt>
                <c:pt idx="793">
                  <c:v>-11.616839082235932</c:v>
                </c:pt>
                <c:pt idx="794">
                  <c:v>-11.62899472874966</c:v>
                </c:pt>
                <c:pt idx="795">
                  <c:v>-11.641150396174433</c:v>
                </c:pt>
                <c:pt idx="796">
                  <c:v>-11.6533060845099</c:v>
                </c:pt>
                <c:pt idx="797">
                  <c:v>-11.665461793755705</c:v>
                </c:pt>
                <c:pt idx="798">
                  <c:v>-11.677617523911495</c:v>
                </c:pt>
                <c:pt idx="799">
                  <c:v>-11.689773274976915</c:v>
                </c:pt>
                <c:pt idx="800">
                  <c:v>-11.70192904695161</c:v>
                </c:pt>
                <c:pt idx="801">
                  <c:v>-11.714084839835229</c:v>
                </c:pt>
                <c:pt idx="802">
                  <c:v>-11.726240653627416</c:v>
                </c:pt>
                <c:pt idx="803">
                  <c:v>-11.738396488327817</c:v>
                </c:pt>
                <c:pt idx="804">
                  <c:v>-11.750552343936079</c:v>
                </c:pt>
                <c:pt idx="805">
                  <c:v>-11.762708220451847</c:v>
                </c:pt>
                <c:pt idx="806">
                  <c:v>-11.774864117874767</c:v>
                </c:pt>
                <c:pt idx="807">
                  <c:v>-11.787020036204485</c:v>
                </c:pt>
                <c:pt idx="808">
                  <c:v>-11.799175975440646</c:v>
                </c:pt>
                <c:pt idx="809">
                  <c:v>-11.811331935582897</c:v>
                </c:pt>
                <c:pt idx="810">
                  <c:v>-11.823487916630885</c:v>
                </c:pt>
                <c:pt idx="811">
                  <c:v>-11.835643918584255</c:v>
                </c:pt>
                <c:pt idx="812">
                  <c:v>-11.847799941442652</c:v>
                </c:pt>
                <c:pt idx="813">
                  <c:v>-11.859955985205723</c:v>
                </c:pt>
                <c:pt idx="814">
                  <c:v>-11.872112049873113</c:v>
                </c:pt>
                <c:pt idx="815">
                  <c:v>-11.88426813544447</c:v>
                </c:pt>
                <c:pt idx="816">
                  <c:v>-11.896424241919439</c:v>
                </c:pt>
                <c:pt idx="817">
                  <c:v>-11.908580369297665</c:v>
                </c:pt>
                <c:pt idx="818">
                  <c:v>-11.920736517578794</c:v>
                </c:pt>
                <c:pt idx="819">
                  <c:v>-11.932892686762473</c:v>
                </c:pt>
                <c:pt idx="820">
                  <c:v>-11.945048876848348</c:v>
                </c:pt>
                <c:pt idx="821">
                  <c:v>-11.957205087836066</c:v>
                </c:pt>
                <c:pt idx="822">
                  <c:v>-11.96936131972527</c:v>
                </c:pt>
                <c:pt idx="823">
                  <c:v>-11.981517572515608</c:v>
                </c:pt>
                <c:pt idx="824">
                  <c:v>-11.993673846206727</c:v>
                </c:pt>
                <c:pt idx="825">
                  <c:v>-12.00583014079827</c:v>
                </c:pt>
                <c:pt idx="826">
                  <c:v>-12.017986456289886</c:v>
                </c:pt>
                <c:pt idx="827">
                  <c:v>-12.03014279268122</c:v>
                </c:pt>
                <c:pt idx="828">
                  <c:v>-12.042299149971917</c:v>
                </c:pt>
                <c:pt idx="829">
                  <c:v>-12.054455528161624</c:v>
                </c:pt>
                <c:pt idx="830">
                  <c:v>-12.066611927249987</c:v>
                </c:pt>
                <c:pt idx="831">
                  <c:v>-12.078768347236652</c:v>
                </c:pt>
                <c:pt idx="832">
                  <c:v>-12.090924788121264</c:v>
                </c:pt>
                <c:pt idx="833">
                  <c:v>-12.10308124990347</c:v>
                </c:pt>
                <c:pt idx="834">
                  <c:v>-12.115237732582916</c:v>
                </c:pt>
                <c:pt idx="835">
                  <c:v>-12.127394236159247</c:v>
                </c:pt>
                <c:pt idx="836">
                  <c:v>-12.139550760632112</c:v>
                </c:pt>
                <c:pt idx="837">
                  <c:v>-12.151707306001155</c:v>
                </c:pt>
                <c:pt idx="838">
                  <c:v>-12.163863872266022</c:v>
                </c:pt>
                <c:pt idx="839">
                  <c:v>-12.176020459426359</c:v>
                </c:pt>
                <c:pt idx="840">
                  <c:v>-12.188177067481814</c:v>
                </c:pt>
                <c:pt idx="841">
                  <c:v>-12.200333696432029</c:v>
                </c:pt>
                <c:pt idx="842">
                  <c:v>-12.212490346276653</c:v>
                </c:pt>
                <c:pt idx="843">
                  <c:v>-12.224647017015331</c:v>
                </c:pt>
                <c:pt idx="844">
                  <c:v>-12.236803708647709</c:v>
                </c:pt>
                <c:pt idx="845">
                  <c:v>-12.248960421173434</c:v>
                </c:pt>
                <c:pt idx="846">
                  <c:v>-12.261117154592153</c:v>
                </c:pt>
                <c:pt idx="847">
                  <c:v>-12.27327390890351</c:v>
                </c:pt>
                <c:pt idx="848">
                  <c:v>-12.285430684107153</c:v>
                </c:pt>
                <c:pt idx="849">
                  <c:v>-12.297587480202726</c:v>
                </c:pt>
                <c:pt idx="850">
                  <c:v>-12.309744297189875</c:v>
                </c:pt>
                <c:pt idx="851">
                  <c:v>-12.321901135068247</c:v>
                </c:pt>
                <c:pt idx="852">
                  <c:v>-12.334057993837488</c:v>
                </c:pt>
                <c:pt idx="853">
                  <c:v>-12.346214873497246</c:v>
                </c:pt>
                <c:pt idx="854">
                  <c:v>-12.358371774047164</c:v>
                </c:pt>
                <c:pt idx="855">
                  <c:v>-12.37052869548689</c:v>
                </c:pt>
                <c:pt idx="856">
                  <c:v>-12.382685637816069</c:v>
                </c:pt>
                <c:pt idx="857">
                  <c:v>-12.394842601034348</c:v>
                </c:pt>
                <c:pt idx="858">
                  <c:v>-12.406999585141374</c:v>
                </c:pt>
                <c:pt idx="859">
                  <c:v>-12.419156590136792</c:v>
                </c:pt>
                <c:pt idx="860">
                  <c:v>-12.431313616020248</c:v>
                </c:pt>
                <c:pt idx="861">
                  <c:v>-12.443470662791388</c:v>
                </c:pt>
                <c:pt idx="862">
                  <c:v>-12.455627730449857</c:v>
                </c:pt>
                <c:pt idx="863">
                  <c:v>-12.467784818995304</c:v>
                </c:pt>
                <c:pt idx="864">
                  <c:v>-12.479941928427372</c:v>
                </c:pt>
                <c:pt idx="865">
                  <c:v>-12.49209905874571</c:v>
                </c:pt>
                <c:pt idx="866">
                  <c:v>-12.504256209949963</c:v>
                </c:pt>
                <c:pt idx="867">
                  <c:v>-12.516413382039776</c:v>
                </c:pt>
                <c:pt idx="868">
                  <c:v>-12.528570575014797</c:v>
                </c:pt>
                <c:pt idx="869">
                  <c:v>-12.540727788874671</c:v>
                </c:pt>
                <c:pt idx="870">
                  <c:v>-12.552885023619044</c:v>
                </c:pt>
                <c:pt idx="871">
                  <c:v>-12.565042279247564</c:v>
                </c:pt>
                <c:pt idx="872">
                  <c:v>-12.577199555759874</c:v>
                </c:pt>
                <c:pt idx="873">
                  <c:v>-12.589356853155623</c:v>
                </c:pt>
                <c:pt idx="874">
                  <c:v>-12.601514171434456</c:v>
                </c:pt>
                <c:pt idx="875">
                  <c:v>-12.613671510596019</c:v>
                </c:pt>
                <c:pt idx="876">
                  <c:v>-12.625828870639959</c:v>
                </c:pt>
                <c:pt idx="877">
                  <c:v>-12.63798625156592</c:v>
                </c:pt>
                <c:pt idx="878">
                  <c:v>-12.650143653373551</c:v>
                </c:pt>
                <c:pt idx="879">
                  <c:v>-12.662301076062496</c:v>
                </c:pt>
                <c:pt idx="880">
                  <c:v>-12.674458519632402</c:v>
                </c:pt>
                <c:pt idx="881">
                  <c:v>-12.686615984082916</c:v>
                </c:pt>
                <c:pt idx="882">
                  <c:v>-12.698773469413684</c:v>
                </c:pt>
                <c:pt idx="883">
                  <c:v>-12.71093097562435</c:v>
                </c:pt>
                <c:pt idx="884">
                  <c:v>-12.723088502714564</c:v>
                </c:pt>
                <c:pt idx="885">
                  <c:v>-12.735246050683969</c:v>
                </c:pt>
                <c:pt idx="886">
                  <c:v>-12.747403619532212</c:v>
                </c:pt>
                <c:pt idx="887">
                  <c:v>-12.759561209258941</c:v>
                </c:pt>
                <c:pt idx="888">
                  <c:v>-12.771718819863798</c:v>
                </c:pt>
                <c:pt idx="889">
                  <c:v>-12.783876451346433</c:v>
                </c:pt>
                <c:pt idx="890">
                  <c:v>-12.796034103706491</c:v>
                </c:pt>
                <c:pt idx="891">
                  <c:v>-12.808191776943618</c:v>
                </c:pt>
                <c:pt idx="892">
                  <c:v>-12.82034947105746</c:v>
                </c:pt>
                <c:pt idx="893">
                  <c:v>-12.832507186047664</c:v>
                </c:pt>
                <c:pt idx="894">
                  <c:v>-12.844664921913877</c:v>
                </c:pt>
                <c:pt idx="895">
                  <c:v>-12.856822678655744</c:v>
                </c:pt>
                <c:pt idx="896">
                  <c:v>-12.868980456272912</c:v>
                </c:pt>
                <c:pt idx="897">
                  <c:v>-12.881138254765025</c:v>
                </c:pt>
                <c:pt idx="898">
                  <c:v>-12.893296074131731</c:v>
                </c:pt>
                <c:pt idx="899">
                  <c:v>-12.905453914372677</c:v>
                </c:pt>
                <c:pt idx="900">
                  <c:v>-12.917611775487508</c:v>
                </c:pt>
                <c:pt idx="901">
                  <c:v>-12.929769657475871</c:v>
                </c:pt>
                <c:pt idx="902">
                  <c:v>-12.941927560337412</c:v>
                </c:pt>
                <c:pt idx="903">
                  <c:v>-12.954085484071776</c:v>
                </c:pt>
                <c:pt idx="904">
                  <c:v>-12.966243428678611</c:v>
                </c:pt>
                <c:pt idx="905">
                  <c:v>-12.978401394157563</c:v>
                </c:pt>
                <c:pt idx="906">
                  <c:v>-12.990559380508278</c:v>
                </c:pt>
                <c:pt idx="907">
                  <c:v>-13.002717387730401</c:v>
                </c:pt>
                <c:pt idx="908">
                  <c:v>-13.01487541582358</c:v>
                </c:pt>
                <c:pt idx="909">
                  <c:v>-13.027033464787461</c:v>
                </c:pt>
                <c:pt idx="910">
                  <c:v>-13.03919153462169</c:v>
                </c:pt>
                <c:pt idx="911">
                  <c:v>-13.051349625325912</c:v>
                </c:pt>
                <c:pt idx="912">
                  <c:v>-13.063507736899775</c:v>
                </c:pt>
                <c:pt idx="913">
                  <c:v>-13.075665869342924</c:v>
                </c:pt>
                <c:pt idx="914">
                  <c:v>-13.087824022655006</c:v>
                </c:pt>
                <c:pt idx="915">
                  <c:v>-13.099982196835668</c:v>
                </c:pt>
                <c:pt idx="916">
                  <c:v>-13.112140391884557</c:v>
                </c:pt>
                <c:pt idx="917">
                  <c:v>-13.124298607801316</c:v>
                </c:pt>
                <c:pt idx="918">
                  <c:v>-13.136456844585595</c:v>
                </c:pt>
                <c:pt idx="919">
                  <c:v>-13.148615102237038</c:v>
                </c:pt>
                <c:pt idx="920">
                  <c:v>-13.160773380755291</c:v>
                </c:pt>
                <c:pt idx="921">
                  <c:v>-13.172931680140001</c:v>
                </c:pt>
                <c:pt idx="922">
                  <c:v>-13.185090000390815</c:v>
                </c:pt>
                <c:pt idx="923">
                  <c:v>-13.197248341507379</c:v>
                </c:pt>
                <c:pt idx="924">
                  <c:v>-13.209406703489339</c:v>
                </c:pt>
                <c:pt idx="925">
                  <c:v>-13.221565086336341</c:v>
                </c:pt>
                <c:pt idx="926">
                  <c:v>-13.233723490048032</c:v>
                </c:pt>
                <c:pt idx="927">
                  <c:v>-13.245881914624057</c:v>
                </c:pt>
                <c:pt idx="928">
                  <c:v>-13.258040360064065</c:v>
                </c:pt>
                <c:pt idx="929">
                  <c:v>-13.2701988263677</c:v>
                </c:pt>
                <c:pt idx="930">
                  <c:v>-13.282357313534609</c:v>
                </c:pt>
                <c:pt idx="931">
                  <c:v>-13.294515821564438</c:v>
                </c:pt>
                <c:pt idx="932">
                  <c:v>-13.306674350456834</c:v>
                </c:pt>
                <c:pt idx="933">
                  <c:v>-13.318832900211444</c:v>
                </c:pt>
                <c:pt idx="934">
                  <c:v>-13.330991470827913</c:v>
                </c:pt>
                <c:pt idx="935">
                  <c:v>-13.343150062305886</c:v>
                </c:pt>
                <c:pt idx="936">
                  <c:v>-13.355308674645013</c:v>
                </c:pt>
                <c:pt idx="937">
                  <c:v>-13.367467307844937</c:v>
                </c:pt>
                <c:pt idx="938">
                  <c:v>-13.379625961905306</c:v>
                </c:pt>
                <c:pt idx="939">
                  <c:v>-13.391784636825767</c:v>
                </c:pt>
                <c:pt idx="940">
                  <c:v>-13.403943332605966</c:v>
                </c:pt>
                <c:pt idx="941">
                  <c:v>-13.416102049245548</c:v>
                </c:pt>
                <c:pt idx="942">
                  <c:v>-13.428260786744161</c:v>
                </c:pt>
                <c:pt idx="943">
                  <c:v>-13.440419545101451</c:v>
                </c:pt>
                <c:pt idx="944">
                  <c:v>-13.452578324317063</c:v>
                </c:pt>
                <c:pt idx="945">
                  <c:v>-13.464737124390645</c:v>
                </c:pt>
                <c:pt idx="946">
                  <c:v>-13.476895945321843</c:v>
                </c:pt>
                <c:pt idx="947">
                  <c:v>-13.489054787110302</c:v>
                </c:pt>
                <c:pt idx="948">
                  <c:v>-13.50121364975567</c:v>
                </c:pt>
                <c:pt idx="949">
                  <c:v>-13.513372533257593</c:v>
                </c:pt>
                <c:pt idx="950">
                  <c:v>-13.525531437615717</c:v>
                </c:pt>
                <c:pt idx="951">
                  <c:v>-13.537690362829689</c:v>
                </c:pt>
                <c:pt idx="952">
                  <c:v>-13.549849308899155</c:v>
                </c:pt>
                <c:pt idx="953">
                  <c:v>-13.562008275823763</c:v>
                </c:pt>
                <c:pt idx="954">
                  <c:v>-13.574167263603156</c:v>
                </c:pt>
                <c:pt idx="955">
                  <c:v>-13.586326272236983</c:v>
                </c:pt>
                <c:pt idx="956">
                  <c:v>-13.598485301724891</c:v>
                </c:pt>
                <c:pt idx="957">
                  <c:v>-13.610644352066524</c:v>
                </c:pt>
                <c:pt idx="958">
                  <c:v>-13.62280342326153</c:v>
                </c:pt>
                <c:pt idx="959">
                  <c:v>-13.634962515309555</c:v>
                </c:pt>
                <c:pt idx="960">
                  <c:v>-13.647121628210245</c:v>
                </c:pt>
                <c:pt idx="961">
                  <c:v>-13.659280761963247</c:v>
                </c:pt>
                <c:pt idx="962">
                  <c:v>-13.671439916568207</c:v>
                </c:pt>
                <c:pt idx="963">
                  <c:v>-13.683599092024773</c:v>
                </c:pt>
                <c:pt idx="964">
                  <c:v>-13.695758288332589</c:v>
                </c:pt>
                <c:pt idx="965">
                  <c:v>-13.707917505491304</c:v>
                </c:pt>
                <c:pt idx="966">
                  <c:v>-13.720076743500563</c:v>
                </c:pt>
                <c:pt idx="967">
                  <c:v>-13.732236002360011</c:v>
                </c:pt>
                <c:pt idx="968">
                  <c:v>-13.744395282069297</c:v>
                </c:pt>
                <c:pt idx="969">
                  <c:v>-13.756554582628066</c:v>
                </c:pt>
                <c:pt idx="970">
                  <c:v>-13.768713904035966</c:v>
                </c:pt>
                <c:pt idx="971">
                  <c:v>-13.780873246292641</c:v>
                </c:pt>
                <c:pt idx="972">
                  <c:v>-13.79303260939774</c:v>
                </c:pt>
                <c:pt idx="973">
                  <c:v>-13.805191993350908</c:v>
                </c:pt>
                <c:pt idx="974">
                  <c:v>-13.817351398151791</c:v>
                </c:pt>
                <c:pt idx="975">
                  <c:v>-13.829510823800037</c:v>
                </c:pt>
                <c:pt idx="976">
                  <c:v>-13.841670270295291</c:v>
                </c:pt>
                <c:pt idx="977">
                  <c:v>-13.8538297376372</c:v>
                </c:pt>
                <c:pt idx="978">
                  <c:v>-13.865989225825411</c:v>
                </c:pt>
                <c:pt idx="979">
                  <c:v>-13.87814873485957</c:v>
                </c:pt>
                <c:pt idx="980">
                  <c:v>-13.890308264739325</c:v>
                </c:pt>
                <c:pt idx="981">
                  <c:v>-13.90246781546432</c:v>
                </c:pt>
                <c:pt idx="982">
                  <c:v>-13.914627387034203</c:v>
                </c:pt>
                <c:pt idx="983">
                  <c:v>-13.92678697944862</c:v>
                </c:pt>
                <c:pt idx="984">
                  <c:v>-13.938946592707218</c:v>
                </c:pt>
                <c:pt idx="985">
                  <c:v>-13.951106226809642</c:v>
                </c:pt>
                <c:pt idx="986">
                  <c:v>-13.963265881755541</c:v>
                </c:pt>
                <c:pt idx="987">
                  <c:v>-13.975425557544559</c:v>
                </c:pt>
                <c:pt idx="988">
                  <c:v>-13.987585254176345</c:v>
                </c:pt>
                <c:pt idx="989">
                  <c:v>-13.999744971650543</c:v>
                </c:pt>
                <c:pt idx="990">
                  <c:v>-14.011904709966801</c:v>
                </c:pt>
                <c:pt idx="991">
                  <c:v>-14.024064469124765</c:v>
                </c:pt>
                <c:pt idx="992">
                  <c:v>-14.036224249124082</c:v>
                </c:pt>
                <c:pt idx="993">
                  <c:v>-14.048384049964397</c:v>
                </c:pt>
                <c:pt idx="994">
                  <c:v>-14.060543871645359</c:v>
                </c:pt>
                <c:pt idx="995">
                  <c:v>-14.072703714166614</c:v>
                </c:pt>
                <c:pt idx="996">
                  <c:v>-14.084863577527807</c:v>
                </c:pt>
                <c:pt idx="997">
                  <c:v>-14.097023461728586</c:v>
                </c:pt>
                <c:pt idx="998">
                  <c:v>-14.109183366768596</c:v>
                </c:pt>
                <c:pt idx="999">
                  <c:v>-14.121343292647484</c:v>
                </c:pt>
                <c:pt idx="1000">
                  <c:v>-14.133503239364899</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pt idx="0">
                  <c:v>Satellite sous parachute</c:v>
                </c:pt>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117.2102782419465</c:v>
                </c:pt>
                <c:pt idx="1">
                  <c:v>117.2102782419465</c:v>
                </c:pt>
                <c:pt idx="2">
                  <c:v>117.2102782419465</c:v>
                </c:pt>
                <c:pt idx="3">
                  <c:v>131.46683222459021</c:v>
                </c:pt>
                <c:pt idx="4">
                  <c:v>117.2102782419465</c:v>
                </c:pt>
                <c:pt idx="5">
                  <c:v>102.95372425930279</c:v>
                </c:pt>
                <c:pt idx="6">
                  <c:v>117.2102782419465</c:v>
                </c:pt>
              </c:numCache>
            </c:numRef>
          </c:xVal>
          <c:yVal>
            <c:numRef>
              <c:f>Trajecto!$C$141:$C$147</c:f>
              <c:numCache>
                <c:formatCode>0</c:formatCode>
                <c:ptCount val="7"/>
                <c:pt idx="0">
                  <c:v>570.26215930574847</c:v>
                </c:pt>
                <c:pt idx="1">
                  <c:v>142.56553982643712</c:v>
                </c:pt>
                <c:pt idx="2">
                  <c:v>0</c:v>
                </c:pt>
                <c:pt idx="3">
                  <c:v>28.513107965287425</c:v>
                </c:pt>
                <c:pt idx="4">
                  <c:v>0</c:v>
                </c:pt>
                <c:pt idx="5">
                  <c:v>28.513107965287425</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1.6867946417028701E-4</c:v>
                </c:pt>
                <c:pt idx="2">
                  <c:v>1.3778666033564277E-3</c:v>
                </c:pt>
                <c:pt idx="3">
                  <c:v>4.7592685955614089E-3</c:v>
                </c:pt>
                <c:pt idx="4">
                  <c:v>1.0696728700282435E-2</c:v>
                </c:pt>
                <c:pt idx="5">
                  <c:v>1.9100698937304261E-2</c:v>
                </c:pt>
                <c:pt idx="6">
                  <c:v>2.9908799923673901E-2</c:v>
                </c:pt>
                <c:pt idx="7">
                  <c:v>4.3113304473870635E-2</c:v>
                </c:pt>
                <c:pt idx="8">
                  <c:v>5.873385637159502E-2</c:v>
                </c:pt>
                <c:pt idx="9">
                  <c:v>7.6790109195529518E-2</c:v>
                </c:pt>
                <c:pt idx="10">
                  <c:v>9.730172588321935E-2</c:v>
                </c:pt>
                <c:pt idx="11">
                  <c:v>0.12028553376894313</c:v>
                </c:pt>
                <c:pt idx="12">
                  <c:v>0.14575267136628073</c:v>
                </c:pt>
                <c:pt idx="13">
                  <c:v>0.17371142028311395</c:v>
                </c:pt>
                <c:pt idx="14">
                  <c:v>0.2041700454538935</c:v>
                </c:pt>
                <c:pt idx="15">
                  <c:v>0.23713679482329</c:v>
                </c:pt>
                <c:pt idx="16">
                  <c:v>0.27261989902886624</c:v>
                </c:pt>
                <c:pt idx="17">
                  <c:v>0.31062757108279598</c:v>
                </c:pt>
                <c:pt idx="18">
                  <c:v>0.3511680060526553</c:v>
                </c:pt>
                <c:pt idx="19">
                  <c:v>0.39424938074131233</c:v>
                </c:pt>
                <c:pt idx="20">
                  <c:v>0.43987985336594226</c:v>
                </c:pt>
                <c:pt idx="21">
                  <c:v>0.48806642086313745</c:v>
                </c:pt>
                <c:pt idx="22">
                  <c:v>0.53881377294937494</c:v>
                </c:pt>
                <c:pt idx="23">
                  <c:v>0.59212542949937219</c:v>
                </c:pt>
                <c:pt idx="24">
                  <c:v>0.64800488123332123</c:v>
                </c:pt>
                <c:pt idx="25">
                  <c:v>0.7064555895244955</c:v>
                </c:pt>
                <c:pt idx="26">
                  <c:v>0.76756493202172194</c:v>
                </c:pt>
                <c:pt idx="27">
                  <c:v>0.83142388806643408</c:v>
                </c:pt>
                <c:pt idx="28">
                  <c:v>0.89804303053635737</c:v>
                </c:pt>
                <c:pt idx="29">
                  <c:v>0.9674327205965737</c:v>
                </c:pt>
                <c:pt idx="30">
                  <c:v>1.0396030586289398</c:v>
                </c:pt>
                <c:pt idx="31">
                  <c:v>1.1145639000060388</c:v>
                </c:pt>
                <c:pt idx="32">
                  <c:v>1.192324869236089</c:v>
                </c:pt>
                <c:pt idx="33">
                  <c:v>1.2728953726931211</c:v>
                </c:pt>
                <c:pt idx="34">
                  <c:v>1.3562846101125992</c:v>
                </c:pt>
                <c:pt idx="35">
                  <c:v>1.4425015850048608</c:v>
                </c:pt>
                <c:pt idx="36">
                  <c:v>1.5315551141159496</c:v>
                </c:pt>
                <c:pt idx="37">
                  <c:v>1.6234538360465911</c:v>
                </c:pt>
                <c:pt idx="38">
                  <c:v>1.7182062191244394</c:v>
                </c:pt>
                <c:pt idx="39">
                  <c:v>1.8158205686116669</c:v>
                </c:pt>
                <c:pt idx="40">
                  <c:v>1.9163050333190148</c:v>
                </c:pt>
                <c:pt idx="41">
                  <c:v>2.0196666919779558</c:v>
                </c:pt>
                <c:pt idx="42">
                  <c:v>2.1259106321896044</c:v>
                </c:pt>
                <c:pt idx="43">
                  <c:v>2.2350408661774672</c:v>
                </c:pt>
                <c:pt idx="44">
                  <c:v>2.3470612534225044</c:v>
                </c:pt>
                <c:pt idx="45">
                  <c:v>2.4619755057277688</c:v>
                </c:pt>
                <c:pt idx="46">
                  <c:v>2.5797871919259481</c:v>
                </c:pt>
                <c:pt idx="47">
                  <c:v>2.7004997422628128</c:v>
                </c:pt>
                <c:pt idx="48">
                  <c:v>2.8241164524858768</c:v>
                </c:pt>
                <c:pt idx="49">
                  <c:v>2.9506404876643599</c:v>
                </c:pt>
                <c:pt idx="50">
                  <c:v>3.0800748857637452</c:v>
                </c:pt>
                <c:pt idx="51">
                  <c:v>3.2124225609957779</c:v>
                </c:pt>
                <c:pt idx="52">
                  <c:v>3.3476863069626095</c:v>
                </c:pt>
                <c:pt idx="53">
                  <c:v>3.4858687996119055</c:v>
                </c:pt>
                <c:pt idx="54">
                  <c:v>3.6269726000180786</c:v>
                </c:pt>
                <c:pt idx="55">
                  <c:v>3.7710001570033365</c:v>
                </c:pt>
                <c:pt idx="56">
                  <c:v>3.9179538096109381</c:v>
                </c:pt>
                <c:pt idx="57">
                  <c:v>4.0678357894418973</c:v>
                </c:pt>
                <c:pt idx="58">
                  <c:v>4.2206482228653401</c:v>
                </c:pt>
                <c:pt idx="59">
                  <c:v>4.376393133111816</c:v>
                </c:pt>
                <c:pt idx="60">
                  <c:v>4.5350724422580289</c:v>
                </c:pt>
                <c:pt idx="61">
                  <c:v>4.6966879731107376</c:v>
                </c:pt>
                <c:pt idx="62">
                  <c:v>4.8612414509968955</c:v>
                </c:pt>
                <c:pt idx="63">
                  <c:v>5.0287345054665273</c:v>
                </c:pt>
                <c:pt idx="64">
                  <c:v>5.1991686719142889</c:v>
                </c:pt>
                <c:pt idx="65">
                  <c:v>5.3725453931251854</c:v>
                </c:pt>
                <c:pt idx="66">
                  <c:v>5.5488660207494798</c:v>
                </c:pt>
                <c:pt idx="67">
                  <c:v>5.7281318167114366</c:v>
                </c:pt>
                <c:pt idx="68">
                  <c:v>5.9103439545561729</c:v>
                </c:pt>
                <c:pt idx="69">
                  <c:v>6.0955035207385837</c:v>
                </c:pt>
                <c:pt idx="70">
                  <c:v>6.2836115158579897</c:v>
                </c:pt>
                <c:pt idx="71">
                  <c:v>6.4746688558419034</c:v>
                </c:pt>
                <c:pt idx="72">
                  <c:v>6.668676373082052</c:v>
                </c:pt>
                <c:pt idx="73">
                  <c:v>6.8656348175255753</c:v>
                </c:pt>
                <c:pt idx="74">
                  <c:v>7.0655448577241051</c:v>
                </c:pt>
                <c:pt idx="75">
                  <c:v>7.268407081843252</c:v>
                </c:pt>
                <c:pt idx="76">
                  <c:v>7.4742219986348415</c:v>
                </c:pt>
                <c:pt idx="77">
                  <c:v>7.682990038374089</c:v>
                </c:pt>
                <c:pt idx="78">
                  <c:v>7.8947115537637584</c:v>
                </c:pt>
                <c:pt idx="79">
                  <c:v>8.1093868208071989</c:v>
                </c:pt>
                <c:pt idx="80">
                  <c:v>8.3270160396520563</c:v>
                </c:pt>
                <c:pt idx="81">
                  <c:v>8.5475983527444637</c:v>
                </c:pt>
                <c:pt idx="82">
                  <c:v>8.7711308585650425</c:v>
                </c:pt>
                <c:pt idx="83">
                  <c:v>8.9976095895689987</c:v>
                </c:pt>
                <c:pt idx="84">
                  <c:v>9.2270304946556188</c:v>
                </c:pt>
                <c:pt idx="85">
                  <c:v>9.4593894402068042</c:v>
                </c:pt>
                <c:pt idx="86">
                  <c:v>9.694682211099666</c:v>
                </c:pt>
                <c:pt idx="87">
                  <c:v>9.932904511694618</c:v>
                </c:pt>
                <c:pt idx="88">
                  <c:v>10.174051966800295</c:v>
                </c:pt>
                <c:pt idx="89">
                  <c:v>10.418120122616561</c:v>
                </c:pt>
                <c:pt idx="90">
                  <c:v>10.665104447656761</c:v>
                </c:pt>
                <c:pt idx="91">
                  <c:v>10.914999895528828</c:v>
                </c:pt>
                <c:pt idx="92">
                  <c:v>11.167800465943888</c:v>
                </c:pt>
                <c:pt idx="93">
                  <c:v>11.423499641576758</c:v>
                </c:pt>
                <c:pt idx="94">
                  <c:v>11.682090826732267</c:v>
                </c:pt>
                <c:pt idx="95">
                  <c:v>11.943567348315517</c:v>
                </c:pt>
                <c:pt idx="96">
                  <c:v>12.207922456785278</c:v>
                </c:pt>
                <c:pt idx="97">
                  <c:v>12.475149327091396</c:v>
                </c:pt>
                <c:pt idx="98">
                  <c:v>12.745241059596967</c:v>
                </c:pt>
                <c:pt idx="99">
                  <c:v>13.018190680986047</c:v>
                </c:pt>
                <c:pt idx="100">
                  <c:v>13.293991145157582</c:v>
                </c:pt>
                <c:pt idx="101">
                  <c:v>13.572635263449058</c:v>
                </c:pt>
                <c:pt idx="102">
                  <c:v>13.854115634594596</c:v>
                </c:pt>
                <c:pt idx="103">
                  <c:v>14.138424715942721</c:v>
                </c:pt>
                <c:pt idx="104">
                  <c:v>14.425554894926286</c:v>
                </c:pt>
                <c:pt idx="105">
                  <c:v>14.715498489917469</c:v>
                </c:pt>
                <c:pt idx="106">
                  <c:v>15.008247751072183</c:v>
                </c:pt>
                <c:pt idx="107">
                  <c:v>15.303794861164365</c:v>
                </c:pt>
                <c:pt idx="108">
                  <c:v>15.602131936410572</c:v>
                </c:pt>
                <c:pt idx="109">
                  <c:v>15.903251027285323</c:v>
                </c:pt>
                <c:pt idx="110">
                  <c:v>16.207144119327548</c:v>
                </c:pt>
                <c:pt idx="111">
                  <c:v>16.513803953650264</c:v>
                </c:pt>
                <c:pt idx="112">
                  <c:v>16.823224850069835</c:v>
                </c:pt>
                <c:pt idx="113">
                  <c:v>17.135401891113901</c:v>
                </c:pt>
                <c:pt idx="114">
                  <c:v>17.450330103283918</c:v>
                </c:pt>
                <c:pt idx="115">
                  <c:v>17.768004457603176</c:v>
                </c:pt>
                <c:pt idx="116">
                  <c:v>18.088419870159964</c:v>
                </c:pt>
                <c:pt idx="117">
                  <c:v>18.411571202646023</c:v>
                </c:pt>
                <c:pt idx="118">
                  <c:v>18.737453262890561</c:v>
                </c:pt>
                <c:pt idx="119">
                  <c:v>19.066060805389952</c:v>
                </c:pt>
                <c:pt idx="120">
                  <c:v>19.397388531833357</c:v>
                </c:pt>
                <c:pt idx="121">
                  <c:v>19.731429722407981</c:v>
                </c:pt>
                <c:pt idx="122">
                  <c:v>20.068174863145309</c:v>
                </c:pt>
                <c:pt idx="123">
                  <c:v>20.407613011465767</c:v>
                </c:pt>
                <c:pt idx="124">
                  <c:v>20.749733165854611</c:v>
                </c:pt>
                <c:pt idx="125">
                  <c:v>21.094524266726673</c:v>
                </c:pt>
                <c:pt idx="126">
                  <c:v>21.441975197284663</c:v>
                </c:pt>
                <c:pt idx="127">
                  <c:v>21.792074784371191</c:v>
                </c:pt>
                <c:pt idx="128">
                  <c:v>22.144811799314695</c:v>
                </c:pt>
                <c:pt idx="129">
                  <c:v>22.500174958769378</c:v>
                </c:pt>
                <c:pt idx="130">
                  <c:v>22.858152925549334</c:v>
                </c:pt>
                <c:pt idx="131">
                  <c:v>23.218733948615856</c:v>
                </c:pt>
                <c:pt idx="132">
                  <c:v>23.581905502143922</c:v>
                </c:pt>
                <c:pt idx="133">
                  <c:v>23.947654646289035</c:v>
                </c:pt>
                <c:pt idx="134">
                  <c:v>24.315968388912164</c:v>
                </c:pt>
                <c:pt idx="135">
                  <c:v>24.686833686482483</c:v>
                </c:pt>
                <c:pt idx="136">
                  <c:v>25.060237444973971</c:v>
                </c:pt>
                <c:pt idx="137">
                  <c:v>25.436166520755975</c:v>
                </c:pt>
                <c:pt idx="138">
                  <c:v>25.814607721477799</c:v>
                </c:pt>
                <c:pt idx="139">
                  <c:v>26.195547806947424</c:v>
                </c:pt>
                <c:pt idx="140">
                  <c:v>26.578973490004401</c:v>
                </c:pt>
                <c:pt idx="141">
                  <c:v>26.964867096001768</c:v>
                </c:pt>
                <c:pt idx="142">
                  <c:v>27.353202212820207</c:v>
                </c:pt>
                <c:pt idx="143">
                  <c:v>27.743948025011814</c:v>
                </c:pt>
                <c:pt idx="144">
                  <c:v>28.137073658067187</c:v>
                </c:pt>
                <c:pt idx="145">
                  <c:v>28.532548180585078</c:v>
                </c:pt>
                <c:pt idx="146">
                  <c:v>28.930340606419271</c:v>
                </c:pt>
                <c:pt idx="147">
                  <c:v>29.330419896802745</c:v>
                </c:pt>
                <c:pt idx="148">
                  <c:v>29.732754962449121</c:v>
                </c:pt>
                <c:pt idx="149">
                  <c:v>30.137314665631489</c:v>
                </c:pt>
                <c:pt idx="150">
                  <c:v>30.544067822238546</c:v>
                </c:pt>
                <c:pt idx="151">
                  <c:v>30.952983203808135</c:v>
                </c:pt>
                <c:pt idx="152">
                  <c:v>31.364029539538148</c:v>
                </c:pt>
                <c:pt idx="153">
                  <c:v>31.77717551827482</c:v>
                </c:pt>
                <c:pt idx="154">
                  <c:v>32.192389790478401</c:v>
                </c:pt>
                <c:pt idx="155">
                  <c:v>32.609640970166183</c:v>
                </c:pt>
                <c:pt idx="156">
                  <c:v>33.028876898950521</c:v>
                </c:pt>
                <c:pt idx="157">
                  <c:v>33.450003881967078</c:v>
                </c:pt>
                <c:pt idx="158">
                  <c:v>33.872907418088587</c:v>
                </c:pt>
                <c:pt idx="159">
                  <c:v>34.297472963968247</c:v>
                </c:pt>
                <c:pt idx="160">
                  <c:v>34.723585947276248</c:v>
                </c:pt>
                <c:pt idx="161">
                  <c:v>35.15110534544965</c:v>
                </c:pt>
                <c:pt idx="162">
                  <c:v>35.579837250520974</c:v>
                </c:pt>
                <c:pt idx="163">
                  <c:v>36.009563864494062</c:v>
                </c:pt>
                <c:pt idx="164">
                  <c:v>36.440072521860117</c:v>
                </c:pt>
                <c:pt idx="165">
                  <c:v>36.871178501785629</c:v>
                </c:pt>
                <c:pt idx="166">
                  <c:v>37.302747829105037</c:v>
                </c:pt>
                <c:pt idx="167">
                  <c:v>37.734652698026238</c:v>
                </c:pt>
                <c:pt idx="168">
                  <c:v>38.166740838042024</c:v>
                </c:pt>
                <c:pt idx="169">
                  <c:v>38.598815008234865</c:v>
                </c:pt>
                <c:pt idx="170">
                  <c:v>39.030626487749061</c:v>
                </c:pt>
                <c:pt idx="171">
                  <c:v>39.462001240201438</c:v>
                </c:pt>
                <c:pt idx="172">
                  <c:v>39.892896164435427</c:v>
                </c:pt>
                <c:pt idx="173">
                  <c:v>40.323312640703321</c:v>
                </c:pt>
                <c:pt idx="174">
                  <c:v>40.753252043573312</c:v>
                </c:pt>
                <c:pt idx="175">
                  <c:v>41.182715741961267</c:v>
                </c:pt>
                <c:pt idx="176">
                  <c:v>41.61170509916235</c:v>
                </c:pt>
                <c:pt idx="177">
                  <c:v>42.040221472882365</c:v>
                </c:pt>
                <c:pt idx="178">
                  <c:v>42.468266215268905</c:v>
                </c:pt>
                <c:pt idx="179">
                  <c:v>42.895840672942278</c:v>
                </c:pt>
                <c:pt idx="180">
                  <c:v>43.322946187026226</c:v>
                </c:pt>
                <c:pt idx="181">
                  <c:v>43.74958409317842</c:v>
                </c:pt>
                <c:pt idx="182">
                  <c:v>44.175755721620753</c:v>
                </c:pt>
                <c:pt idx="183">
                  <c:v>44.601462397169392</c:v>
                </c:pt>
                <c:pt idx="184">
                  <c:v>45.026705439264674</c:v>
                </c:pt>
                <c:pt idx="185">
                  <c:v>45.451486162000755</c:v>
                </c:pt>
                <c:pt idx="186">
                  <c:v>45.875805874155056</c:v>
                </c:pt>
                <c:pt idx="187">
                  <c:v>46.299665879217521</c:v>
                </c:pt>
                <c:pt idx="188">
                  <c:v>46.723067475419676</c:v>
                </c:pt>
                <c:pt idx="189">
                  <c:v>47.146011955763463</c:v>
                </c:pt>
                <c:pt idx="190">
                  <c:v>47.568500608049902</c:v>
                </c:pt>
                <c:pt idx="191">
                  <c:v>47.99053471490754</c:v>
                </c:pt>
                <c:pt idx="192">
                  <c:v>48.412115553820719</c:v>
                </c:pt>
                <c:pt idx="193">
                  <c:v>48.833244397157628</c:v>
                </c:pt>
                <c:pt idx="194">
                  <c:v>49.253922512198194</c:v>
                </c:pt>
                <c:pt idx="195">
                  <c:v>49.674151161161745</c:v>
                </c:pt>
                <c:pt idx="196">
                  <c:v>50.093931601234516</c:v>
                </c:pt>
                <c:pt idx="197">
                  <c:v>50.513265084596959</c:v>
                </c:pt>
                <c:pt idx="198">
                  <c:v>50.93215285845087</c:v>
                </c:pt>
                <c:pt idx="199">
                  <c:v>51.350596165046298</c:v>
                </c:pt>
                <c:pt idx="200">
                  <c:v>51.768596241708345</c:v>
                </c:pt>
                <c:pt idx="201">
                  <c:v>55.924314820102936</c:v>
                </c:pt>
                <c:pt idx="202">
                  <c:v>60.036503136767664</c:v>
                </c:pt>
                <c:pt idx="203">
                  <c:v>64.106353587857626</c:v>
                </c:pt>
                <c:pt idx="204">
                  <c:v>68.13501263645631</c:v>
                </c:pt>
                <c:pt idx="205">
                  <c:v>72.123583199633828</c:v>
                </c:pt>
                <c:pt idx="206">
                  <c:v>76.073126881591008</c:v>
                </c:pt>
                <c:pt idx="207">
                  <c:v>79.984666064716151</c:v>
                </c:pt>
                <c:pt idx="208">
                  <c:v>83.859185869330531</c:v>
                </c:pt>
                <c:pt idx="209">
                  <c:v>87.697635991952595</c:v>
                </c:pt>
                <c:pt idx="210">
                  <c:v>91.500932431059795</c:v>
                </c:pt>
                <c:pt idx="211">
                  <c:v>95.269959108558652</c:v>
                </c:pt>
                <c:pt idx="212">
                  <c:v>99.005569394480133</c:v>
                </c:pt>
                <c:pt idx="213">
                  <c:v>102.70858754179021</c:v>
                </c:pt>
                <c:pt idx="214">
                  <c:v>106.37981003763736</c:v>
                </c:pt>
                <c:pt idx="215">
                  <c:v>110.02000687684416</c:v>
                </c:pt>
                <c:pt idx="216">
                  <c:v>113.62992276298239</c:v>
                </c:pt>
                <c:pt idx="217">
                  <c:v>117.2102782419465</c:v>
                </c:pt>
                <c:pt idx="218">
                  <c:v>120.76177077255396</c:v>
                </c:pt>
                <c:pt idx="219">
                  <c:v>124.28507573834855</c:v>
                </c:pt>
                <c:pt idx="220">
                  <c:v>127.78084740446224</c:v>
                </c:pt>
                <c:pt idx="221">
                  <c:v>131.24971982309762</c:v>
                </c:pt>
                <c:pt idx="222">
                  <c:v>134.69230769092582</c:v>
                </c:pt>
                <c:pt idx="223">
                  <c:v>138.10920716144898</c:v>
                </c:pt>
                <c:pt idx="224">
                  <c:v>141.50099661515287</c:v>
                </c:pt>
                <c:pt idx="225">
                  <c:v>144.8682373900692</c:v>
                </c:pt>
                <c:pt idx="226">
                  <c:v>148.21147447517836</c:v>
                </c:pt>
                <c:pt idx="227">
                  <c:v>151.53123716891076</c:v>
                </c:pt>
                <c:pt idx="228">
                  <c:v>154.82803970484471</c:v>
                </c:pt>
                <c:pt idx="229">
                  <c:v>158.1023818465533</c:v>
                </c:pt>
                <c:pt idx="230">
                  <c:v>161.35474945341693</c:v>
                </c:pt>
                <c:pt idx="231">
                  <c:v>164.58561501909432</c:v>
                </c:pt>
                <c:pt idx="232">
                  <c:v>167.79543818423011</c:v>
                </c:pt>
                <c:pt idx="233">
                  <c:v>170.98466622487067</c:v>
                </c:pt>
                <c:pt idx="234">
                  <c:v>174.15373451796293</c:v>
                </c:pt>
                <c:pt idx="235">
                  <c:v>177.30306698521932</c:v>
                </c:pt>
                <c:pt idx="236">
                  <c:v>180.43307651654922</c:v>
                </c:pt>
                <c:pt idx="237">
                  <c:v>183.54416537417913</c:v>
                </c:pt>
                <c:pt idx="238">
                  <c:v>186.63672557851208</c:v>
                </c:pt>
                <c:pt idx="239">
                  <c:v>189.71113927670999</c:v>
                </c:pt>
                <c:pt idx="240">
                  <c:v>192.767779094921</c:v>
                </c:pt>
                <c:pt idx="241">
                  <c:v>195.80700847501618</c:v>
                </c:pt>
                <c:pt idx="242">
                  <c:v>198.82918199664613</c:v>
                </c:pt>
                <c:pt idx="243">
                  <c:v>201.8346456853792</c:v>
                </c:pt>
                <c:pt idx="244">
                  <c:v>204.82373730763555</c:v>
                </c:pt>
                <c:pt idx="245">
                  <c:v>207.79678665308921</c:v>
                </c:pt>
                <c:pt idx="246">
                  <c:v>210.75411580516919</c:v>
                </c:pt>
                <c:pt idx="247">
                  <c:v>213.69603940025385</c:v>
                </c:pt>
                <c:pt idx="248">
                  <c:v>216.62286487611706</c:v>
                </c:pt>
                <c:pt idx="249">
                  <c:v>219.53489271015258</c:v>
                </c:pt>
                <c:pt idx="250">
                  <c:v>222.43241664787175</c:v>
                </c:pt>
                <c:pt idx="251">
                  <c:v>225.31572392214173</c:v>
                </c:pt>
                <c:pt idx="252">
                  <c:v>228.18509546360391</c:v>
                </c:pt>
                <c:pt idx="253">
                  <c:v>231.04080610268767</c:v>
                </c:pt>
                <c:pt idx="254">
                  <c:v>233.8831247636104</c:v>
                </c:pt>
                <c:pt idx="255">
                  <c:v>236.71231465073345</c:v>
                </c:pt>
                <c:pt idx="256">
                  <c:v>239.52863342762194</c:v>
                </c:pt>
                <c:pt idx="257">
                  <c:v>242.33233338913752</c:v>
                </c:pt>
                <c:pt idx="258">
                  <c:v>245.12366162687448</c:v>
                </c:pt>
                <c:pt idx="259">
                  <c:v>247.90286018823255</c:v>
                </c:pt>
                <c:pt idx="260">
                  <c:v>250.67016622940301</c:v>
                </c:pt>
                <c:pt idx="261">
                  <c:v>253.42581216252984</c:v>
                </c:pt>
                <c:pt idx="262">
                  <c:v>256.17002579729274</c:v>
                </c:pt>
                <c:pt idx="263">
                  <c:v>258.90303047714542</c:v>
                </c:pt>
                <c:pt idx="264">
                  <c:v>261.62504521042905</c:v>
                </c:pt>
                <c:pt idx="265">
                  <c:v>264.3362847965692</c:v>
                </c:pt>
                <c:pt idx="266">
                  <c:v>267.03695994755236</c:v>
                </c:pt>
                <c:pt idx="267">
                  <c:v>269.72727740486681</c:v>
                </c:pt>
                <c:pt idx="268">
                  <c:v>272.40744005208302</c:v>
                </c:pt>
                <c:pt idx="269">
                  <c:v>275.0776470232372</c:v>
                </c:pt>
                <c:pt idx="270">
                  <c:v>277.7380938071737</c:v>
                </c:pt>
                <c:pt idx="271">
                  <c:v>280.38897234799111</c:v>
                </c:pt>
                <c:pt idx="272">
                  <c:v>283.03047114172904</c:v>
                </c:pt>
                <c:pt idx="273">
                  <c:v>285.66277532942388</c:v>
                </c:pt>
                <c:pt idx="274">
                  <c:v>288.28606678665346</c:v>
                </c:pt>
                <c:pt idx="275">
                  <c:v>290.90052420968254</c:v>
                </c:pt>
                <c:pt idx="276">
                  <c:v>293.50632319831357</c:v>
                </c:pt>
                <c:pt idx="277">
                  <c:v>296.10363633553976</c:v>
                </c:pt>
                <c:pt idx="278">
                  <c:v>298.69263326408969</c:v>
                </c:pt>
                <c:pt idx="279">
                  <c:v>301.27348075994576</c:v>
                </c:pt>
                <c:pt idx="280">
                  <c:v>303.84634280291232</c:v>
                </c:pt>
                <c:pt idx="281">
                  <c:v>306.41138064430106</c:v>
                </c:pt>
                <c:pt idx="282">
                  <c:v>308.96875287179563</c:v>
                </c:pt>
                <c:pt idx="283">
                  <c:v>311.51861547154959</c:v>
                </c:pt>
                <c:pt idx="284">
                  <c:v>314.06112188756532</c:v>
                </c:pt>
                <c:pt idx="285">
                  <c:v>316.59642307839465</c:v>
                </c:pt>
                <c:pt idx="286">
                  <c:v>319.12466757119455</c:v>
                </c:pt>
                <c:pt idx="287">
                  <c:v>321.64600151316409</c:v>
                </c:pt>
                <c:pt idx="288">
                  <c:v>324.16056872038234</c:v>
                </c:pt>
                <c:pt idx="289">
                  <c:v>326.66851072405819</c:v>
                </c:pt>
                <c:pt idx="290">
                  <c:v>329.16996681419602</c:v>
                </c:pt>
                <c:pt idx="291">
                  <c:v>331.66507408067361</c:v>
                </c:pt>
                <c:pt idx="292">
                  <c:v>334.15396745171944</c:v>
                </c:pt>
                <c:pt idx="293">
                  <c:v>336.63677972976859</c:v>
                </c:pt>
                <c:pt idx="294">
                  <c:v>339.11364162466725</c:v>
                </c:pt>
                <c:pt idx="295">
                  <c:v>341.58468178418667</c:v>
                </c:pt>
                <c:pt idx="296">
                  <c:v>344.05002682179702</c:v>
                </c:pt>
                <c:pt idx="297">
                  <c:v>346.50980134164212</c:v>
                </c:pt>
                <c:pt idx="298">
                  <c:v>348.96412796064402</c:v>
                </c:pt>
                <c:pt idx="299">
                  <c:v>351.41312732765647</c:v>
                </c:pt>
                <c:pt idx="300">
                  <c:v>353.85691813957249</c:v>
                </c:pt>
                <c:pt idx="301">
                  <c:v>356.29561715428082</c:v>
                </c:pt>
                <c:pt idx="302">
                  <c:v>358.72933920035098</c:v>
                </c:pt>
                <c:pt idx="303">
                  <c:v>361.15819718331448</c:v>
                </c:pt>
                <c:pt idx="304">
                  <c:v>363.58230208839478</c:v>
                </c:pt>
                <c:pt idx="305">
                  <c:v>366.00176297952436</c:v>
                </c:pt>
                <c:pt idx="306">
                  <c:v>368.41668699447291</c:v>
                </c:pt>
                <c:pt idx="307">
                  <c:v>370.8271793358947</c:v>
                </c:pt>
                <c:pt idx="308">
                  <c:v>373.23334325809049</c:v>
                </c:pt>
                <c:pt idx="309">
                  <c:v>375.6352800492628</c:v>
                </c:pt>
                <c:pt idx="310">
                  <c:v>378.03308900903301</c:v>
                </c:pt>
                <c:pt idx="311">
                  <c:v>380.42686742097465</c:v>
                </c:pt>
                <c:pt idx="312">
                  <c:v>382.81671051991015</c:v>
                </c:pt>
                <c:pt idx="313">
                  <c:v>385.20271145371089</c:v>
                </c:pt>
                <c:pt idx="314">
                  <c:v>387.58496123933907</c:v>
                </c:pt>
                <c:pt idx="315">
                  <c:v>389.96354871287446</c:v>
                </c:pt>
                <c:pt idx="316">
                  <c:v>392.33856047327907</c:v>
                </c:pt>
                <c:pt idx="317">
                  <c:v>394.71008081967426</c:v>
                </c:pt>
                <c:pt idx="318">
                  <c:v>397.07819168193521</c:v>
                </c:pt>
                <c:pt idx="319">
                  <c:v>399.44297254445394</c:v>
                </c:pt>
                <c:pt idx="320">
                  <c:v>401.80450036298294</c:v>
                </c:pt>
                <c:pt idx="321">
                  <c:v>404.16284947455239</c:v>
                </c:pt>
                <c:pt idx="322">
                  <c:v>406.51809150055618</c:v>
                </c:pt>
                <c:pt idx="323">
                  <c:v>408.87029524322958</c:v>
                </c:pt>
                <c:pt idx="324">
                  <c:v>411.21952657589355</c:v>
                </c:pt>
                <c:pt idx="325">
                  <c:v>413.56584832752299</c:v>
                </c:pt>
                <c:pt idx="326">
                  <c:v>415.90932016240396</c:v>
                </c:pt>
                <c:pt idx="327">
                  <c:v>418.24999845587939</c:v>
                </c:pt>
                <c:pt idx="328">
                  <c:v>420.58793616743759</c:v>
                </c:pt>
                <c:pt idx="329">
                  <c:v>422.92318271266691</c:v>
                </c:pt>
                <c:pt idx="330">
                  <c:v>425.25578383587276</c:v>
                </c:pt>
                <c:pt idx="331">
                  <c:v>427.58578148541301</c:v>
                </c:pt>
                <c:pt idx="332">
                  <c:v>429.91321369404216</c:v>
                </c:pt>
                <c:pt idx="333">
                  <c:v>432.23811446673892</c:v>
                </c:pt>
                <c:pt idx="334">
                  <c:v>434.56051367860914</c:v>
                </c:pt>
                <c:pt idx="335">
                  <c:v>436.8804369854841</c:v>
                </c:pt>
                <c:pt idx="336">
                  <c:v>439.19790574975741</c:v>
                </c:pt>
                <c:pt idx="337">
                  <c:v>441.5129369838113</c:v>
                </c:pt>
                <c:pt idx="338">
                  <c:v>443.8255433130729</c:v>
                </c:pt>
                <c:pt idx="339">
                  <c:v>446.13573296031825</c:v>
                </c:pt>
                <c:pt idx="340">
                  <c:v>448.44350975232692</c:v>
                </c:pt>
                <c:pt idx="341">
                  <c:v>450.74887314940628</c:v>
                </c:pt>
                <c:pt idx="342">
                  <c:v>453.0518182976902</c:v>
                </c:pt>
                <c:pt idx="343">
                  <c:v>455.35233610350446</c:v>
                </c:pt>
                <c:pt idx="344">
                  <c:v>457.6504133285224</c:v>
                </c:pt>
                <c:pt idx="345">
                  <c:v>459.94603270394003</c:v>
                </c:pt>
                <c:pt idx="346">
                  <c:v>462.23917306150389</c:v>
                </c:pt>
                <c:pt idx="347">
                  <c:v>464.52980947894571</c:v>
                </c:pt>
                <c:pt idx="348">
                  <c:v>466.81791343721733</c:v>
                </c:pt>
                <c:pt idx="349">
                  <c:v>469.10345298687525</c:v>
                </c:pt>
                <c:pt idx="350">
                  <c:v>471.38639292102164</c:v>
                </c:pt>
                <c:pt idx="351">
                  <c:v>473.66669495235124</c:v>
                </c:pt>
                <c:pt idx="352">
                  <c:v>475.94431789206243</c:v>
                </c:pt>
                <c:pt idx="353">
                  <c:v>478.21921782863882</c:v>
                </c:pt>
                <c:pt idx="354">
                  <c:v>480.49134830478397</c:v>
                </c:pt>
                <c:pt idx="355">
                  <c:v>482.76066049107061</c:v>
                </c:pt>
                <c:pt idx="356">
                  <c:v>485.02710335514104</c:v>
                </c:pt>
                <c:pt idx="357">
                  <c:v>487.29062382555111</c:v>
                </c:pt>
                <c:pt idx="358">
                  <c:v>489.551166949584</c:v>
                </c:pt>
                <c:pt idx="359">
                  <c:v>491.80867604456546</c:v>
                </c:pt>
                <c:pt idx="360">
                  <c:v>494.06309284239001</c:v>
                </c:pt>
                <c:pt idx="361">
                  <c:v>496.31435762711538</c:v>
                </c:pt>
                <c:pt idx="362">
                  <c:v>498.56240936560454</c:v>
                </c:pt>
                <c:pt idx="363">
                  <c:v>500.80718583129209</c:v>
                </c:pt>
                <c:pt idx="364">
                  <c:v>503.04862372122699</c:v>
                </c:pt>
                <c:pt idx="365">
                  <c:v>505.28665876660023</c:v>
                </c:pt>
                <c:pt idx="366">
                  <c:v>507.52122583700702</c:v>
                </c:pt>
                <c:pt idx="367">
                  <c:v>509.75225903872024</c:v>
                </c:pt>
                <c:pt idx="368">
                  <c:v>511.97969180726903</c:v>
                </c:pt>
                <c:pt idx="369">
                  <c:v>514.20345699462439</c:v>
                </c:pt>
                <c:pt idx="370">
                  <c:v>516.42348695129431</c:v>
                </c:pt>
                <c:pt idx="371">
                  <c:v>518.63971360362882</c:v>
                </c:pt>
                <c:pt idx="372">
                  <c:v>520.85206852662554</c:v>
                </c:pt>
                <c:pt idx="373">
                  <c:v>523.06048301251758</c:v>
                </c:pt>
                <c:pt idx="374">
                  <c:v>525.26488813541221</c:v>
                </c:pt>
                <c:pt idx="375">
                  <c:v>527.46521481223613</c:v>
                </c:pt>
                <c:pt idx="376">
                  <c:v>529.66139386022712</c:v>
                </c:pt>
                <c:pt idx="377">
                  <c:v>531.85335605119997</c:v>
                </c:pt>
                <c:pt idx="378">
                  <c:v>534.04103216279725</c:v>
                </c:pt>
                <c:pt idx="379">
                  <c:v>536.22435302692384</c:v>
                </c:pt>
                <c:pt idx="380">
                  <c:v>538.40324957554799</c:v>
                </c:pt>
                <c:pt idx="381">
                  <c:v>540.5776528840413</c:v>
                </c:pt>
                <c:pt idx="382">
                  <c:v>542.74749421221463</c:v>
                </c:pt>
                <c:pt idx="383">
                  <c:v>544.912705043198</c:v>
                </c:pt>
                <c:pt idx="384">
                  <c:v>547.07321712029886</c:v>
                </c:pt>
                <c:pt idx="385">
                  <c:v>549.22896248196525</c:v>
                </c:pt>
                <c:pt idx="386">
                  <c:v>551.37987349496825</c:v>
                </c:pt>
                <c:pt idx="387">
                  <c:v>553.52588288591198</c:v>
                </c:pt>
                <c:pt idx="388">
                  <c:v>555.66692377116829</c:v>
                </c:pt>
                <c:pt idx="389">
                  <c:v>557.80292968532819</c:v>
                </c:pt>
                <c:pt idx="390">
                  <c:v>559.93383460825316</c:v>
                </c:pt>
                <c:pt idx="391">
                  <c:v>562.05957299080376</c:v>
                </c:pt>
                <c:pt idx="392">
                  <c:v>564.18007977931757</c:v>
                </c:pt>
                <c:pt idx="393">
                  <c:v>566.2952904389017</c:v>
                </c:pt>
                <c:pt idx="394">
                  <c:v>568.40514097560117</c:v>
                </c:pt>
                <c:pt idx="395">
                  <c:v>570.50956795749914</c:v>
                </c:pt>
                <c:pt idx="396">
                  <c:v>572.60850853480167</c:v>
                </c:pt>
                <c:pt idx="397">
                  <c:v>574.70190045895424</c:v>
                </c:pt>
                <c:pt idx="398">
                  <c:v>576.78968210083588</c:v>
                </c:pt>
                <c:pt idx="399">
                  <c:v>578.87179246807068</c:v>
                </c:pt>
                <c:pt idx="400">
                  <c:v>580.9481712214972</c:v>
                </c:pt>
                <c:pt idx="401">
                  <c:v>583.01875869082937</c:v>
                </c:pt>
                <c:pt idx="402">
                  <c:v>585.08349588954309</c:v>
                </c:pt>
                <c:pt idx="403">
                  <c:v>587.14232452901956</c:v>
                </c:pt>
                <c:pt idx="404">
                  <c:v>589.19518703197389</c:v>
                </c:pt>
                <c:pt idx="405">
                  <c:v>591.24202654519547</c:v>
                </c:pt>
                <c:pt idx="406">
                  <c:v>593.28278695162567</c:v>
                </c:pt>
                <c:pt idx="407">
                  <c:v>595.31741288179671</c:v>
                </c:pt>
                <c:pt idx="408">
                  <c:v>597.34584972465291</c:v>
                </c:pt>
                <c:pt idx="409">
                  <c:v>599.36804363777549</c:v>
                </c:pt>
                <c:pt idx="410">
                  <c:v>601.38394155703077</c:v>
                </c:pt>
                <c:pt idx="411">
                  <c:v>603.39349120565907</c:v>
                </c:pt>
                <c:pt idx="412">
                  <c:v>605.39664110282297</c:v>
                </c:pt>
                <c:pt idx="413">
                  <c:v>607.39334057162966</c:v>
                </c:pt>
                <c:pt idx="414">
                  <c:v>609.38353974664483</c:v>
                </c:pt>
                <c:pt idx="415">
                  <c:v>611.36718958091092</c:v>
                </c:pt>
                <c:pt idx="416">
                  <c:v>613.34424185248486</c:v>
                </c:pt>
                <c:pt idx="417">
                  <c:v>615.31464917050835</c:v>
                </c:pt>
                <c:pt idx="418">
                  <c:v>617.2783649808232</c:v>
                </c:pt>
                <c:pt idx="419">
                  <c:v>619.23534357114374</c:v>
                </c:pt>
                <c:pt idx="420">
                  <c:v>621.18554007579837</c:v>
                </c:pt>
                <c:pt idx="421">
                  <c:v>623.12891048005122</c:v>
                </c:pt>
                <c:pt idx="422">
                  <c:v>625.06541162401402</c:v>
                </c:pt>
                <c:pt idx="423">
                  <c:v>626.99500120615971</c:v>
                </c:pt>
                <c:pt idx="424">
                  <c:v>628.91763778644645</c:v>
                </c:pt>
                <c:pt idx="425">
                  <c:v>630.83328078906231</c:v>
                </c:pt>
                <c:pt idx="426">
                  <c:v>632.74189050480004</c:v>
                </c:pt>
                <c:pt idx="427">
                  <c:v>634.64342809307038</c:v>
                </c:pt>
                <c:pt idx="428">
                  <c:v>636.53785558356333</c:v>
                </c:pt>
                <c:pt idx="429">
                  <c:v>638.42513587756503</c:v>
                </c:pt>
                <c:pt idx="430">
                  <c:v>640.30523274893949</c:v>
                </c:pt>
                <c:pt idx="431">
                  <c:v>642.1781108447824</c:v>
                </c:pt>
                <c:pt idx="432">
                  <c:v>644.04373568575556</c:v>
                </c:pt>
                <c:pt idx="433">
                  <c:v>645.90207366610889</c:v>
                </c:pt>
                <c:pt idx="434">
                  <c:v>647.7530920533984</c:v>
                </c:pt>
                <c:pt idx="435">
                  <c:v>649.59675898790692</c:v>
                </c:pt>
                <c:pt idx="436">
                  <c:v>651.43304348177503</c:v>
                </c:pt>
                <c:pt idx="437">
                  <c:v>653.26191541784908</c:v>
                </c:pt>
                <c:pt idx="438">
                  <c:v>655.08334554825365</c:v>
                </c:pt>
                <c:pt idx="439">
                  <c:v>656.89730549269507</c:v>
                </c:pt>
                <c:pt idx="440">
                  <c:v>658.70376773650275</c:v>
                </c:pt>
                <c:pt idx="441">
                  <c:v>660.50270562841501</c:v>
                </c:pt>
                <c:pt idx="442">
                  <c:v>662.29409337811614</c:v>
                </c:pt>
                <c:pt idx="443">
                  <c:v>664.07790605353102</c:v>
                </c:pt>
                <c:pt idx="444">
                  <c:v>665.85411957788301</c:v>
                </c:pt>
                <c:pt idx="445">
                  <c:v>667.622710726523</c:v>
                </c:pt>
                <c:pt idx="446">
                  <c:v>669.38365712353402</c:v>
                </c:pt>
                <c:pt idx="447">
                  <c:v>671.136937238119</c:v>
                </c:pt>
                <c:pt idx="448">
                  <c:v>672.88253038077664</c:v>
                </c:pt>
                <c:pt idx="449">
                  <c:v>674.62041669927203</c:v>
                </c:pt>
                <c:pt idx="450">
                  <c:v>676.35057717440782</c:v>
                </c:pt>
                <c:pt idx="451">
                  <c:v>678.07299361560149</c:v>
                </c:pt>
                <c:pt idx="452">
                  <c:v>679.78764865627488</c:v>
                </c:pt>
                <c:pt idx="453">
                  <c:v>681.49452574906161</c:v>
                </c:pt>
                <c:pt idx="454">
                  <c:v>683.19360916083747</c:v>
                </c:pt>
                <c:pt idx="455">
                  <c:v>684.88488396758055</c:v>
                </c:pt>
                <c:pt idx="456">
                  <c:v>686.56833604906524</c:v>
                </c:pt>
                <c:pt idx="457">
                  <c:v>688.24395208339661</c:v>
                </c:pt>
                <c:pt idx="458">
                  <c:v>689.91171954139008</c:v>
                </c:pt>
                <c:pt idx="459">
                  <c:v>691.57162668080184</c:v>
                </c:pt>
                <c:pt idx="460">
                  <c:v>693.22366254041515</c:v>
                </c:pt>
                <c:pt idx="461">
                  <c:v>694.86781693398791</c:v>
                </c:pt>
                <c:pt idx="462">
                  <c:v>696.50408044406652</c:v>
                </c:pt>
                <c:pt idx="463">
                  <c:v>698.13244441567144</c:v>
                </c:pt>
                <c:pt idx="464">
                  <c:v>699.75290094985871</c:v>
                </c:pt>
                <c:pt idx="465">
                  <c:v>701.36544289716335</c:v>
                </c:pt>
                <c:pt idx="466">
                  <c:v>702.97006385092868</c:v>
                </c:pt>
                <c:pt idx="467">
                  <c:v>704.56675814052687</c:v>
                </c:pt>
                <c:pt idx="468">
                  <c:v>706.15552082447562</c:v>
                </c:pt>
                <c:pt idx="469">
                  <c:v>707.73634768345528</c:v>
                </c:pt>
                <c:pt idx="470">
                  <c:v>709.3092352132312</c:v>
                </c:pt>
                <c:pt idx="471">
                  <c:v>710.87418061748588</c:v>
                </c:pt>
                <c:pt idx="472">
                  <c:v>712.43118180056558</c:v>
                </c:pt>
                <c:pt idx="473">
                  <c:v>713.98023736014557</c:v>
                </c:pt>
                <c:pt idx="474">
                  <c:v>715.5213465798189</c:v>
                </c:pt>
                <c:pt idx="475">
                  <c:v>717.05450942161212</c:v>
                </c:pt>
                <c:pt idx="476">
                  <c:v>718.57972651843329</c:v>
                </c:pt>
                <c:pt idx="477">
                  <c:v>720.09699916645559</c:v>
                </c:pt>
                <c:pt idx="478">
                  <c:v>721.6063293174409</c:v>
                </c:pt>
                <c:pt idx="479">
                  <c:v>723.10771957100792</c:v>
                </c:pt>
                <c:pt idx="480">
                  <c:v>724.60117316684796</c:v>
                </c:pt>
                <c:pt idx="481">
                  <c:v>726.08669397689266</c:v>
                </c:pt>
                <c:pt idx="482">
                  <c:v>727.56428649743805</c:v>
                </c:pt>
                <c:pt idx="483">
                  <c:v>729.03395584122757</c:v>
                </c:pt>
                <c:pt idx="484">
                  <c:v>730.49570772949903</c:v>
                </c:pt>
                <c:pt idx="485">
                  <c:v>731.94954848399823</c:v>
                </c:pt>
                <c:pt idx="486">
                  <c:v>733.39548501896286</c:v>
                </c:pt>
                <c:pt idx="487">
                  <c:v>734.8335248330809</c:v>
                </c:pt>
                <c:pt idx="488">
                  <c:v>736.26367600142635</c:v>
                </c:pt>
                <c:pt idx="489">
                  <c:v>737.68594716737562</c:v>
                </c:pt>
                <c:pt idx="490">
                  <c:v>739.10034753450816</c:v>
                </c:pt>
                <c:pt idx="491">
                  <c:v>740.50688685849457</c:v>
                </c:pt>
                <c:pt idx="492">
                  <c:v>741.90557543897478</c:v>
                </c:pt>
                <c:pt idx="493">
                  <c:v>743.29642411143027</c:v>
                </c:pt>
                <c:pt idx="494">
                  <c:v>744.67944423905294</c:v>
                </c:pt>
                <c:pt idx="495">
                  <c:v>746.05464770461299</c:v>
                </c:pt>
                <c:pt idx="496">
                  <c:v>747.42204690232973</c:v>
                </c:pt>
                <c:pt idx="497">
                  <c:v>748.7816547297474</c:v>
                </c:pt>
                <c:pt idx="498">
                  <c:v>750.13348457961911</c:v>
                </c:pt>
                <c:pt idx="499">
                  <c:v>751.47755033180147</c:v>
                </c:pt>
                <c:pt idx="500">
                  <c:v>752.81386634516195</c:v>
                </c:pt>
                <c:pt idx="501">
                  <c:v>754.14244744950292</c:v>
                </c:pt>
                <c:pt idx="502">
                  <c:v>755.46330893750348</c:v>
                </c:pt>
                <c:pt idx="503">
                  <c:v>756.77646655668161</c:v>
                </c:pt>
                <c:pt idx="504">
                  <c:v>758.08193650138014</c:v>
                </c:pt>
                <c:pt idx="505">
                  <c:v>759.37973540477753</c:v>
                </c:pt>
                <c:pt idx="506">
                  <c:v>760.66988033092605</c:v>
                </c:pt>
                <c:pt idx="507">
                  <c:v>761.95238876681992</c:v>
                </c:pt>
                <c:pt idx="508">
                  <c:v>763.22727861449494</c:v>
                </c:pt>
                <c:pt idx="509">
                  <c:v>764.49456818316207</c:v>
                </c:pt>
                <c:pt idx="510">
                  <c:v>765.75427618137633</c:v>
                </c:pt>
                <c:pt idx="511">
                  <c:v>767.0064217092438</c:v>
                </c:pt>
                <c:pt idx="512">
                  <c:v>768.25102425066757</c:v>
                </c:pt>
                <c:pt idx="513">
                  <c:v>769.48810366563509</c:v>
                </c:pt>
                <c:pt idx="514">
                  <c:v>770.71768018254841</c:v>
                </c:pt>
                <c:pt idx="515">
                  <c:v>771.9397743905987</c:v>
                </c:pt>
                <c:pt idx="516">
                  <c:v>773.15440723218717</c:v>
                </c:pt>
                <c:pt idx="517">
                  <c:v>774.36159999539359</c:v>
                </c:pt>
                <c:pt idx="518">
                  <c:v>775.56137430649392</c:v>
                </c:pt>
                <c:pt idx="519">
                  <c:v>776.75375212252811</c:v>
                </c:pt>
                <c:pt idx="520">
                  <c:v>777.93875572392039</c:v>
                </c:pt>
                <c:pt idx="521">
                  <c:v>779.11640770715235</c:v>
                </c:pt>
                <c:pt idx="522">
                  <c:v>780.28673097749038</c:v>
                </c:pt>
                <c:pt idx="523">
                  <c:v>781.4497487417691</c:v>
                </c:pt>
                <c:pt idx="524">
                  <c:v>782.60548450123133</c:v>
                </c:pt>
                <c:pt idx="525">
                  <c:v>783.75396204442598</c:v>
                </c:pt>
                <c:pt idx="526">
                  <c:v>784.89520544016477</c:v>
                </c:pt>
                <c:pt idx="527">
                  <c:v>786.02923903053897</c:v>
                </c:pt>
                <c:pt idx="528">
                  <c:v>786.02923903053897</c:v>
                </c:pt>
                <c:pt idx="529">
                  <c:v>786.02923903053897</c:v>
                </c:pt>
                <c:pt idx="530">
                  <c:v>786.02923903053897</c:v>
                </c:pt>
                <c:pt idx="531">
                  <c:v>786.02923903053897</c:v>
                </c:pt>
                <c:pt idx="532">
                  <c:v>786.02923903053897</c:v>
                </c:pt>
                <c:pt idx="533">
                  <c:v>786.02923903053897</c:v>
                </c:pt>
                <c:pt idx="534">
                  <c:v>786.02923903053897</c:v>
                </c:pt>
                <c:pt idx="535">
                  <c:v>786.02923903053897</c:v>
                </c:pt>
                <c:pt idx="536">
                  <c:v>786.02923903053897</c:v>
                </c:pt>
                <c:pt idx="537">
                  <c:v>786.02923903053897</c:v>
                </c:pt>
                <c:pt idx="538">
                  <c:v>786.02923903053897</c:v>
                </c:pt>
                <c:pt idx="539">
                  <c:v>786.02923903053897</c:v>
                </c:pt>
                <c:pt idx="540">
                  <c:v>786.02923903053897</c:v>
                </c:pt>
                <c:pt idx="541">
                  <c:v>786.02923903053897</c:v>
                </c:pt>
                <c:pt idx="542">
                  <c:v>786.02923903053897</c:v>
                </c:pt>
                <c:pt idx="543">
                  <c:v>786.02923903053897</c:v>
                </c:pt>
                <c:pt idx="544">
                  <c:v>786.02923903053897</c:v>
                </c:pt>
                <c:pt idx="545">
                  <c:v>786.02923903053897</c:v>
                </c:pt>
                <c:pt idx="546">
                  <c:v>786.02923903053897</c:v>
                </c:pt>
                <c:pt idx="547">
                  <c:v>786.02923903053897</c:v>
                </c:pt>
                <c:pt idx="548">
                  <c:v>786.02923903053897</c:v>
                </c:pt>
                <c:pt idx="549">
                  <c:v>786.02923903053897</c:v>
                </c:pt>
                <c:pt idx="550">
                  <c:v>786.02923903053897</c:v>
                </c:pt>
                <c:pt idx="551">
                  <c:v>786.02923903053897</c:v>
                </c:pt>
                <c:pt idx="552">
                  <c:v>786.02923903053897</c:v>
                </c:pt>
                <c:pt idx="553">
                  <c:v>786.02923903053897</c:v>
                </c:pt>
                <c:pt idx="554">
                  <c:v>786.02923903053897</c:v>
                </c:pt>
                <c:pt idx="555">
                  <c:v>786.02923903053897</c:v>
                </c:pt>
                <c:pt idx="556">
                  <c:v>786.02923903053897</c:v>
                </c:pt>
                <c:pt idx="557">
                  <c:v>786.02923903053897</c:v>
                </c:pt>
                <c:pt idx="558">
                  <c:v>786.02923903053897</c:v>
                </c:pt>
                <c:pt idx="559">
                  <c:v>786.02923903053897</c:v>
                </c:pt>
                <c:pt idx="560">
                  <c:v>786.02923903053897</c:v>
                </c:pt>
                <c:pt idx="561">
                  <c:v>786.02923903053897</c:v>
                </c:pt>
                <c:pt idx="562">
                  <c:v>786.02923903053897</c:v>
                </c:pt>
                <c:pt idx="563">
                  <c:v>786.02923903053897</c:v>
                </c:pt>
                <c:pt idx="564">
                  <c:v>786.02923903053897</c:v>
                </c:pt>
                <c:pt idx="565">
                  <c:v>786.02923903053897</c:v>
                </c:pt>
                <c:pt idx="566">
                  <c:v>786.02923903053897</c:v>
                </c:pt>
                <c:pt idx="567">
                  <c:v>786.02923903053897</c:v>
                </c:pt>
                <c:pt idx="568">
                  <c:v>786.02923903053897</c:v>
                </c:pt>
                <c:pt idx="569">
                  <c:v>786.02923903053897</c:v>
                </c:pt>
                <c:pt idx="570">
                  <c:v>786.02923903053897</c:v>
                </c:pt>
                <c:pt idx="571">
                  <c:v>786.02923903053897</c:v>
                </c:pt>
                <c:pt idx="572">
                  <c:v>786.02923903053897</c:v>
                </c:pt>
                <c:pt idx="573">
                  <c:v>786.02923903053897</c:v>
                </c:pt>
                <c:pt idx="574">
                  <c:v>786.02923903053897</c:v>
                </c:pt>
                <c:pt idx="575">
                  <c:v>786.02923903053897</c:v>
                </c:pt>
                <c:pt idx="576">
                  <c:v>786.02923903053897</c:v>
                </c:pt>
                <c:pt idx="577">
                  <c:v>786.02923903053897</c:v>
                </c:pt>
                <c:pt idx="578">
                  <c:v>786.02923903053897</c:v>
                </c:pt>
                <c:pt idx="579">
                  <c:v>786.02923903053897</c:v>
                </c:pt>
                <c:pt idx="580">
                  <c:v>786.02923903053897</c:v>
                </c:pt>
                <c:pt idx="581">
                  <c:v>786.02923903053897</c:v>
                </c:pt>
                <c:pt idx="582">
                  <c:v>786.02923903053897</c:v>
                </c:pt>
                <c:pt idx="583">
                  <c:v>786.02923903053897</c:v>
                </c:pt>
                <c:pt idx="584">
                  <c:v>786.02923903053897</c:v>
                </c:pt>
                <c:pt idx="585">
                  <c:v>786.02923903053897</c:v>
                </c:pt>
                <c:pt idx="586">
                  <c:v>786.02923903053897</c:v>
                </c:pt>
                <c:pt idx="587">
                  <c:v>786.02923903053897</c:v>
                </c:pt>
                <c:pt idx="588">
                  <c:v>786.02923903053897</c:v>
                </c:pt>
                <c:pt idx="589">
                  <c:v>786.02923903053897</c:v>
                </c:pt>
                <c:pt idx="590">
                  <c:v>786.02923903053897</c:v>
                </c:pt>
                <c:pt idx="591">
                  <c:v>786.02923903053897</c:v>
                </c:pt>
                <c:pt idx="592">
                  <c:v>786.02923903053897</c:v>
                </c:pt>
                <c:pt idx="593">
                  <c:v>786.02923903053897</c:v>
                </c:pt>
                <c:pt idx="594">
                  <c:v>786.02923903053897</c:v>
                </c:pt>
                <c:pt idx="595">
                  <c:v>786.02923903053897</c:v>
                </c:pt>
                <c:pt idx="596">
                  <c:v>786.02923903053897</c:v>
                </c:pt>
                <c:pt idx="597">
                  <c:v>786.02923903053897</c:v>
                </c:pt>
                <c:pt idx="598">
                  <c:v>786.02923903053897</c:v>
                </c:pt>
                <c:pt idx="599">
                  <c:v>786.02923903053897</c:v>
                </c:pt>
                <c:pt idx="600">
                  <c:v>786.02923903053897</c:v>
                </c:pt>
                <c:pt idx="601">
                  <c:v>786.02923903053897</c:v>
                </c:pt>
                <c:pt idx="602">
                  <c:v>786.02923903053897</c:v>
                </c:pt>
                <c:pt idx="603">
                  <c:v>786.02923903053897</c:v>
                </c:pt>
                <c:pt idx="604">
                  <c:v>786.02923903053897</c:v>
                </c:pt>
                <c:pt idx="605">
                  <c:v>786.02923903053897</c:v>
                </c:pt>
                <c:pt idx="606">
                  <c:v>786.02923903053897</c:v>
                </c:pt>
                <c:pt idx="607">
                  <c:v>786.02923903053897</c:v>
                </c:pt>
                <c:pt idx="608">
                  <c:v>786.02923903053897</c:v>
                </c:pt>
                <c:pt idx="609">
                  <c:v>786.02923903053897</c:v>
                </c:pt>
                <c:pt idx="610">
                  <c:v>786.02923903053897</c:v>
                </c:pt>
                <c:pt idx="611">
                  <c:v>786.02923903053897</c:v>
                </c:pt>
                <c:pt idx="612">
                  <c:v>786.02923903053897</c:v>
                </c:pt>
                <c:pt idx="613">
                  <c:v>786.02923903053897</c:v>
                </c:pt>
                <c:pt idx="614">
                  <c:v>786.02923903053897</c:v>
                </c:pt>
                <c:pt idx="615">
                  <c:v>786.02923903053897</c:v>
                </c:pt>
                <c:pt idx="616">
                  <c:v>786.02923903053897</c:v>
                </c:pt>
                <c:pt idx="617">
                  <c:v>786.02923903053897</c:v>
                </c:pt>
                <c:pt idx="618">
                  <c:v>786.02923903053897</c:v>
                </c:pt>
                <c:pt idx="619">
                  <c:v>786.02923903053897</c:v>
                </c:pt>
                <c:pt idx="620">
                  <c:v>786.02923903053897</c:v>
                </c:pt>
                <c:pt idx="621">
                  <c:v>786.02923903053897</c:v>
                </c:pt>
                <c:pt idx="622">
                  <c:v>786.02923903053897</c:v>
                </c:pt>
                <c:pt idx="623">
                  <c:v>786.02923903053897</c:v>
                </c:pt>
                <c:pt idx="624">
                  <c:v>786.02923903053897</c:v>
                </c:pt>
                <c:pt idx="625">
                  <c:v>786.02923903053897</c:v>
                </c:pt>
                <c:pt idx="626">
                  <c:v>786.02923903053897</c:v>
                </c:pt>
                <c:pt idx="627">
                  <c:v>786.02923903053897</c:v>
                </c:pt>
                <c:pt idx="628">
                  <c:v>786.02923903053897</c:v>
                </c:pt>
                <c:pt idx="629">
                  <c:v>786.02923903053897</c:v>
                </c:pt>
                <c:pt idx="630">
                  <c:v>786.02923903053897</c:v>
                </c:pt>
                <c:pt idx="631">
                  <c:v>786.02923903053897</c:v>
                </c:pt>
                <c:pt idx="632">
                  <c:v>786.02923903053897</c:v>
                </c:pt>
                <c:pt idx="633">
                  <c:v>786.02923903053897</c:v>
                </c:pt>
                <c:pt idx="634">
                  <c:v>786.02923903053897</c:v>
                </c:pt>
                <c:pt idx="635">
                  <c:v>786.02923903053897</c:v>
                </c:pt>
                <c:pt idx="636">
                  <c:v>786.02923903053897</c:v>
                </c:pt>
                <c:pt idx="637">
                  <c:v>786.02923903053897</c:v>
                </c:pt>
                <c:pt idx="638">
                  <c:v>786.02923903053897</c:v>
                </c:pt>
                <c:pt idx="639">
                  <c:v>786.02923903053897</c:v>
                </c:pt>
                <c:pt idx="640">
                  <c:v>786.02923903053897</c:v>
                </c:pt>
                <c:pt idx="641">
                  <c:v>786.02923903053897</c:v>
                </c:pt>
                <c:pt idx="642">
                  <c:v>786.02923903053897</c:v>
                </c:pt>
                <c:pt idx="643">
                  <c:v>786.02923903053897</c:v>
                </c:pt>
                <c:pt idx="644">
                  <c:v>786.02923903053897</c:v>
                </c:pt>
                <c:pt idx="645">
                  <c:v>786.02923903053897</c:v>
                </c:pt>
                <c:pt idx="646">
                  <c:v>786.02923903053897</c:v>
                </c:pt>
                <c:pt idx="647">
                  <c:v>786.02923903053897</c:v>
                </c:pt>
                <c:pt idx="648">
                  <c:v>786.02923903053897</c:v>
                </c:pt>
                <c:pt idx="649">
                  <c:v>786.02923903053897</c:v>
                </c:pt>
                <c:pt idx="650">
                  <c:v>786.02923903053897</c:v>
                </c:pt>
                <c:pt idx="651">
                  <c:v>786.02923903053897</c:v>
                </c:pt>
                <c:pt idx="652">
                  <c:v>786.02923903053897</c:v>
                </c:pt>
                <c:pt idx="653">
                  <c:v>786.02923903053897</c:v>
                </c:pt>
                <c:pt idx="654">
                  <c:v>786.02923903053897</c:v>
                </c:pt>
                <c:pt idx="655">
                  <c:v>786.02923903053897</c:v>
                </c:pt>
                <c:pt idx="656">
                  <c:v>786.02923903053897</c:v>
                </c:pt>
                <c:pt idx="657">
                  <c:v>786.02923903053897</c:v>
                </c:pt>
                <c:pt idx="658">
                  <c:v>786.02923903053897</c:v>
                </c:pt>
                <c:pt idx="659">
                  <c:v>786.02923903053897</c:v>
                </c:pt>
                <c:pt idx="660">
                  <c:v>786.02923903053897</c:v>
                </c:pt>
                <c:pt idx="661">
                  <c:v>786.02923903053897</c:v>
                </c:pt>
                <c:pt idx="662">
                  <c:v>786.02923903053897</c:v>
                </c:pt>
                <c:pt idx="663">
                  <c:v>786.02923903053897</c:v>
                </c:pt>
                <c:pt idx="664">
                  <c:v>786.02923903053897</c:v>
                </c:pt>
                <c:pt idx="665">
                  <c:v>786.02923903053897</c:v>
                </c:pt>
                <c:pt idx="666">
                  <c:v>786.02923903053897</c:v>
                </c:pt>
                <c:pt idx="667">
                  <c:v>786.02923903053897</c:v>
                </c:pt>
                <c:pt idx="668">
                  <c:v>786.02923903053897</c:v>
                </c:pt>
                <c:pt idx="669">
                  <c:v>786.02923903053897</c:v>
                </c:pt>
                <c:pt idx="670">
                  <c:v>786.02923903053897</c:v>
                </c:pt>
                <c:pt idx="671">
                  <c:v>786.02923903053897</c:v>
                </c:pt>
                <c:pt idx="672">
                  <c:v>786.02923903053897</c:v>
                </c:pt>
                <c:pt idx="673">
                  <c:v>786.02923903053897</c:v>
                </c:pt>
                <c:pt idx="674">
                  <c:v>786.02923903053897</c:v>
                </c:pt>
                <c:pt idx="675">
                  <c:v>786.02923903053897</c:v>
                </c:pt>
                <c:pt idx="676">
                  <c:v>786.02923903053897</c:v>
                </c:pt>
                <c:pt idx="677">
                  <c:v>786.02923903053897</c:v>
                </c:pt>
                <c:pt idx="678">
                  <c:v>786.02923903053897</c:v>
                </c:pt>
                <c:pt idx="679">
                  <c:v>786.02923903053897</c:v>
                </c:pt>
                <c:pt idx="680">
                  <c:v>786.02923903053897</c:v>
                </c:pt>
                <c:pt idx="681">
                  <c:v>786.02923903053897</c:v>
                </c:pt>
                <c:pt idx="682">
                  <c:v>786.02923903053897</c:v>
                </c:pt>
                <c:pt idx="683">
                  <c:v>786.02923903053897</c:v>
                </c:pt>
                <c:pt idx="684">
                  <c:v>786.02923903053897</c:v>
                </c:pt>
                <c:pt idx="685">
                  <c:v>786.02923903053897</c:v>
                </c:pt>
                <c:pt idx="686">
                  <c:v>786.02923903053897</c:v>
                </c:pt>
                <c:pt idx="687">
                  <c:v>786.02923903053897</c:v>
                </c:pt>
                <c:pt idx="688">
                  <c:v>786.02923903053897</c:v>
                </c:pt>
                <c:pt idx="689">
                  <c:v>786.02923903053897</c:v>
                </c:pt>
                <c:pt idx="690">
                  <c:v>786.02923903053897</c:v>
                </c:pt>
                <c:pt idx="691">
                  <c:v>786.02923903053897</c:v>
                </c:pt>
                <c:pt idx="692">
                  <c:v>786.02923903053897</c:v>
                </c:pt>
                <c:pt idx="693">
                  <c:v>786.02923903053897</c:v>
                </c:pt>
                <c:pt idx="694">
                  <c:v>786.02923903053897</c:v>
                </c:pt>
                <c:pt idx="695">
                  <c:v>786.02923903053897</c:v>
                </c:pt>
                <c:pt idx="696">
                  <c:v>786.02923903053897</c:v>
                </c:pt>
                <c:pt idx="697">
                  <c:v>786.02923903053897</c:v>
                </c:pt>
                <c:pt idx="698">
                  <c:v>786.02923903053897</c:v>
                </c:pt>
                <c:pt idx="699">
                  <c:v>786.02923903053897</c:v>
                </c:pt>
                <c:pt idx="700">
                  <c:v>786.02923903053897</c:v>
                </c:pt>
                <c:pt idx="701">
                  <c:v>786.02923903053897</c:v>
                </c:pt>
                <c:pt idx="702">
                  <c:v>786.02923903053897</c:v>
                </c:pt>
                <c:pt idx="703">
                  <c:v>786.02923903053897</c:v>
                </c:pt>
                <c:pt idx="704">
                  <c:v>786.02923903053897</c:v>
                </c:pt>
                <c:pt idx="705">
                  <c:v>786.02923903053897</c:v>
                </c:pt>
                <c:pt idx="706">
                  <c:v>786.02923903053897</c:v>
                </c:pt>
                <c:pt idx="707">
                  <c:v>786.02923903053897</c:v>
                </c:pt>
                <c:pt idx="708">
                  <c:v>786.02923903053897</c:v>
                </c:pt>
                <c:pt idx="709">
                  <c:v>786.02923903053897</c:v>
                </c:pt>
                <c:pt idx="710">
                  <c:v>786.02923903053897</c:v>
                </c:pt>
                <c:pt idx="711">
                  <c:v>786.02923903053897</c:v>
                </c:pt>
                <c:pt idx="712">
                  <c:v>786.02923903053897</c:v>
                </c:pt>
                <c:pt idx="713">
                  <c:v>786.02923903053897</c:v>
                </c:pt>
                <c:pt idx="714">
                  <c:v>786.02923903053897</c:v>
                </c:pt>
                <c:pt idx="715">
                  <c:v>786.02923903053897</c:v>
                </c:pt>
                <c:pt idx="716">
                  <c:v>786.02923903053897</c:v>
                </c:pt>
                <c:pt idx="717">
                  <c:v>786.02923903053897</c:v>
                </c:pt>
                <c:pt idx="718">
                  <c:v>786.02923903053897</c:v>
                </c:pt>
                <c:pt idx="719">
                  <c:v>786.02923903053897</c:v>
                </c:pt>
                <c:pt idx="720">
                  <c:v>786.02923903053897</c:v>
                </c:pt>
                <c:pt idx="721">
                  <c:v>786.02923903053897</c:v>
                </c:pt>
                <c:pt idx="722">
                  <c:v>786.02923903053897</c:v>
                </c:pt>
                <c:pt idx="723">
                  <c:v>786.02923903053897</c:v>
                </c:pt>
                <c:pt idx="724">
                  <c:v>786.02923903053897</c:v>
                </c:pt>
                <c:pt idx="725">
                  <c:v>786.02923903053897</c:v>
                </c:pt>
                <c:pt idx="726">
                  <c:v>786.02923903053897</c:v>
                </c:pt>
                <c:pt idx="727">
                  <c:v>786.02923903053897</c:v>
                </c:pt>
                <c:pt idx="728">
                  <c:v>786.02923903053897</c:v>
                </c:pt>
                <c:pt idx="729">
                  <c:v>786.02923903053897</c:v>
                </c:pt>
                <c:pt idx="730">
                  <c:v>786.02923903053897</c:v>
                </c:pt>
                <c:pt idx="731">
                  <c:v>786.02923903053897</c:v>
                </c:pt>
                <c:pt idx="732">
                  <c:v>786.02923903053897</c:v>
                </c:pt>
                <c:pt idx="733">
                  <c:v>786.02923903053897</c:v>
                </c:pt>
                <c:pt idx="734">
                  <c:v>786.02923903053897</c:v>
                </c:pt>
                <c:pt idx="735">
                  <c:v>786.02923903053897</c:v>
                </c:pt>
                <c:pt idx="736">
                  <c:v>786.02923903053897</c:v>
                </c:pt>
                <c:pt idx="737">
                  <c:v>786.02923903053897</c:v>
                </c:pt>
                <c:pt idx="738">
                  <c:v>786.02923903053897</c:v>
                </c:pt>
                <c:pt idx="739">
                  <c:v>786.02923903053897</c:v>
                </c:pt>
                <c:pt idx="740">
                  <c:v>786.02923903053897</c:v>
                </c:pt>
                <c:pt idx="741">
                  <c:v>786.02923903053897</c:v>
                </c:pt>
                <c:pt idx="742">
                  <c:v>786.02923903053897</c:v>
                </c:pt>
                <c:pt idx="743">
                  <c:v>786.02923903053897</c:v>
                </c:pt>
                <c:pt idx="744">
                  <c:v>786.02923903053897</c:v>
                </c:pt>
                <c:pt idx="745">
                  <c:v>786.02923903053897</c:v>
                </c:pt>
                <c:pt idx="746">
                  <c:v>786.02923903053897</c:v>
                </c:pt>
                <c:pt idx="747">
                  <c:v>786.02923903053897</c:v>
                </c:pt>
                <c:pt idx="748">
                  <c:v>786.02923903053897</c:v>
                </c:pt>
                <c:pt idx="749">
                  <c:v>786.02923903053897</c:v>
                </c:pt>
                <c:pt idx="750">
                  <c:v>786.02923903053897</c:v>
                </c:pt>
                <c:pt idx="751">
                  <c:v>786.02923903053897</c:v>
                </c:pt>
                <c:pt idx="752">
                  <c:v>786.02923903053897</c:v>
                </c:pt>
                <c:pt idx="753">
                  <c:v>786.02923903053897</c:v>
                </c:pt>
                <c:pt idx="754">
                  <c:v>786.02923903053897</c:v>
                </c:pt>
                <c:pt idx="755">
                  <c:v>786.02923903053897</c:v>
                </c:pt>
                <c:pt idx="756">
                  <c:v>786.02923903053897</c:v>
                </c:pt>
                <c:pt idx="757">
                  <c:v>786.02923903053897</c:v>
                </c:pt>
                <c:pt idx="758">
                  <c:v>786.02923903053897</c:v>
                </c:pt>
                <c:pt idx="759">
                  <c:v>786.02923903053897</c:v>
                </c:pt>
                <c:pt idx="760">
                  <c:v>786.02923903053897</c:v>
                </c:pt>
                <c:pt idx="761">
                  <c:v>786.02923903053897</c:v>
                </c:pt>
                <c:pt idx="762">
                  <c:v>786.02923903053897</c:v>
                </c:pt>
                <c:pt idx="763">
                  <c:v>786.02923903053897</c:v>
                </c:pt>
                <c:pt idx="764">
                  <c:v>786.02923903053897</c:v>
                </c:pt>
                <c:pt idx="765">
                  <c:v>786.02923903053897</c:v>
                </c:pt>
                <c:pt idx="766">
                  <c:v>786.02923903053897</c:v>
                </c:pt>
                <c:pt idx="767">
                  <c:v>786.02923903053897</c:v>
                </c:pt>
                <c:pt idx="768">
                  <c:v>786.02923903053897</c:v>
                </c:pt>
                <c:pt idx="769">
                  <c:v>786.02923903053897</c:v>
                </c:pt>
                <c:pt idx="770">
                  <c:v>786.02923903053897</c:v>
                </c:pt>
                <c:pt idx="771">
                  <c:v>786.02923903053897</c:v>
                </c:pt>
                <c:pt idx="772">
                  <c:v>786.02923903053897</c:v>
                </c:pt>
                <c:pt idx="773">
                  <c:v>786.02923903053897</c:v>
                </c:pt>
                <c:pt idx="774">
                  <c:v>786.02923903053897</c:v>
                </c:pt>
                <c:pt idx="775">
                  <c:v>786.02923903053897</c:v>
                </c:pt>
                <c:pt idx="776">
                  <c:v>786.02923903053897</c:v>
                </c:pt>
                <c:pt idx="777">
                  <c:v>786.02923903053897</c:v>
                </c:pt>
                <c:pt idx="778">
                  <c:v>786.02923903053897</c:v>
                </c:pt>
                <c:pt idx="779">
                  <c:v>786.02923903053897</c:v>
                </c:pt>
                <c:pt idx="780">
                  <c:v>786.02923903053897</c:v>
                </c:pt>
                <c:pt idx="781">
                  <c:v>786.02923903053897</c:v>
                </c:pt>
                <c:pt idx="782">
                  <c:v>786.02923903053897</c:v>
                </c:pt>
                <c:pt idx="783">
                  <c:v>786.02923903053897</c:v>
                </c:pt>
                <c:pt idx="784">
                  <c:v>786.02923903053897</c:v>
                </c:pt>
                <c:pt idx="785">
                  <c:v>786.02923903053897</c:v>
                </c:pt>
                <c:pt idx="786">
                  <c:v>786.02923903053897</c:v>
                </c:pt>
                <c:pt idx="787">
                  <c:v>786.02923903053897</c:v>
                </c:pt>
                <c:pt idx="788">
                  <c:v>786.02923903053897</c:v>
                </c:pt>
                <c:pt idx="789">
                  <c:v>786.02923903053897</c:v>
                </c:pt>
                <c:pt idx="790">
                  <c:v>786.02923903053897</c:v>
                </c:pt>
                <c:pt idx="791">
                  <c:v>786.02923903053897</c:v>
                </c:pt>
                <c:pt idx="792">
                  <c:v>786.02923903053897</c:v>
                </c:pt>
                <c:pt idx="793">
                  <c:v>786.02923903053897</c:v>
                </c:pt>
                <c:pt idx="794">
                  <c:v>786.02923903053897</c:v>
                </c:pt>
                <c:pt idx="795">
                  <c:v>786.02923903053897</c:v>
                </c:pt>
                <c:pt idx="796">
                  <c:v>786.02923903053897</c:v>
                </c:pt>
                <c:pt idx="797">
                  <c:v>786.02923903053897</c:v>
                </c:pt>
                <c:pt idx="798">
                  <c:v>786.02923903053897</c:v>
                </c:pt>
                <c:pt idx="799">
                  <c:v>786.02923903053897</c:v>
                </c:pt>
                <c:pt idx="800">
                  <c:v>786.02923903053897</c:v>
                </c:pt>
                <c:pt idx="801">
                  <c:v>786.02923903053897</c:v>
                </c:pt>
                <c:pt idx="802">
                  <c:v>786.02923903053897</c:v>
                </c:pt>
                <c:pt idx="803">
                  <c:v>786.02923903053897</c:v>
                </c:pt>
                <c:pt idx="804">
                  <c:v>786.02923903053897</c:v>
                </c:pt>
                <c:pt idx="805">
                  <c:v>786.02923903053897</c:v>
                </c:pt>
                <c:pt idx="806">
                  <c:v>786.02923903053897</c:v>
                </c:pt>
                <c:pt idx="807">
                  <c:v>786.02923903053897</c:v>
                </c:pt>
                <c:pt idx="808">
                  <c:v>786.02923903053897</c:v>
                </c:pt>
                <c:pt idx="809">
                  <c:v>786.02923903053897</c:v>
                </c:pt>
                <c:pt idx="810">
                  <c:v>786.02923903053897</c:v>
                </c:pt>
                <c:pt idx="811">
                  <c:v>786.02923903053897</c:v>
                </c:pt>
                <c:pt idx="812">
                  <c:v>786.02923903053897</c:v>
                </c:pt>
                <c:pt idx="813">
                  <c:v>786.02923903053897</c:v>
                </c:pt>
                <c:pt idx="814">
                  <c:v>786.02923903053897</c:v>
                </c:pt>
                <c:pt idx="815">
                  <c:v>786.02923903053897</c:v>
                </c:pt>
                <c:pt idx="816">
                  <c:v>786.02923903053897</c:v>
                </c:pt>
                <c:pt idx="817">
                  <c:v>786.02923903053897</c:v>
                </c:pt>
                <c:pt idx="818">
                  <c:v>786.02923903053897</c:v>
                </c:pt>
                <c:pt idx="819">
                  <c:v>786.02923903053897</c:v>
                </c:pt>
                <c:pt idx="820">
                  <c:v>786.02923903053897</c:v>
                </c:pt>
                <c:pt idx="821">
                  <c:v>786.02923903053897</c:v>
                </c:pt>
                <c:pt idx="822">
                  <c:v>786.02923903053897</c:v>
                </c:pt>
                <c:pt idx="823">
                  <c:v>786.02923903053897</c:v>
                </c:pt>
                <c:pt idx="824">
                  <c:v>786.02923903053897</c:v>
                </c:pt>
                <c:pt idx="825">
                  <c:v>786.02923903053897</c:v>
                </c:pt>
                <c:pt idx="826">
                  <c:v>786.02923903053897</c:v>
                </c:pt>
                <c:pt idx="827">
                  <c:v>786.02923903053897</c:v>
                </c:pt>
                <c:pt idx="828">
                  <c:v>786.02923903053897</c:v>
                </c:pt>
                <c:pt idx="829">
                  <c:v>786.02923903053897</c:v>
                </c:pt>
                <c:pt idx="830">
                  <c:v>786.02923903053897</c:v>
                </c:pt>
                <c:pt idx="831">
                  <c:v>786.02923903053897</c:v>
                </c:pt>
                <c:pt idx="832">
                  <c:v>786.02923903053897</c:v>
                </c:pt>
                <c:pt idx="833">
                  <c:v>786.02923903053897</c:v>
                </c:pt>
                <c:pt idx="834">
                  <c:v>786.02923903053897</c:v>
                </c:pt>
                <c:pt idx="835">
                  <c:v>786.02923903053897</c:v>
                </c:pt>
                <c:pt idx="836">
                  <c:v>786.02923903053897</c:v>
                </c:pt>
                <c:pt idx="837">
                  <c:v>786.02923903053897</c:v>
                </c:pt>
                <c:pt idx="838">
                  <c:v>786.02923903053897</c:v>
                </c:pt>
                <c:pt idx="839">
                  <c:v>786.02923903053897</c:v>
                </c:pt>
                <c:pt idx="840">
                  <c:v>786.02923903053897</c:v>
                </c:pt>
                <c:pt idx="841">
                  <c:v>786.02923903053897</c:v>
                </c:pt>
                <c:pt idx="842">
                  <c:v>786.02923903053897</c:v>
                </c:pt>
                <c:pt idx="843">
                  <c:v>786.02923903053897</c:v>
                </c:pt>
                <c:pt idx="844">
                  <c:v>786.02923903053897</c:v>
                </c:pt>
                <c:pt idx="845">
                  <c:v>786.02923903053897</c:v>
                </c:pt>
                <c:pt idx="846">
                  <c:v>786.02923903053897</c:v>
                </c:pt>
                <c:pt idx="847">
                  <c:v>786.02923903053897</c:v>
                </c:pt>
                <c:pt idx="848">
                  <c:v>786.02923903053897</c:v>
                </c:pt>
                <c:pt idx="849">
                  <c:v>786.02923903053897</c:v>
                </c:pt>
                <c:pt idx="850">
                  <c:v>786.02923903053897</c:v>
                </c:pt>
                <c:pt idx="851">
                  <c:v>786.02923903053897</c:v>
                </c:pt>
                <c:pt idx="852">
                  <c:v>786.02923903053897</c:v>
                </c:pt>
                <c:pt idx="853">
                  <c:v>786.02923903053897</c:v>
                </c:pt>
                <c:pt idx="854">
                  <c:v>786.02923903053897</c:v>
                </c:pt>
                <c:pt idx="855">
                  <c:v>786.02923903053897</c:v>
                </c:pt>
                <c:pt idx="856">
                  <c:v>786.02923903053897</c:v>
                </c:pt>
                <c:pt idx="857">
                  <c:v>786.02923903053897</c:v>
                </c:pt>
                <c:pt idx="858">
                  <c:v>786.02923903053897</c:v>
                </c:pt>
                <c:pt idx="859">
                  <c:v>786.02923903053897</c:v>
                </c:pt>
                <c:pt idx="860">
                  <c:v>786.02923903053897</c:v>
                </c:pt>
                <c:pt idx="861">
                  <c:v>786.02923903053897</c:v>
                </c:pt>
                <c:pt idx="862">
                  <c:v>786.02923903053897</c:v>
                </c:pt>
                <c:pt idx="863">
                  <c:v>786.02923903053897</c:v>
                </c:pt>
                <c:pt idx="864">
                  <c:v>786.02923903053897</c:v>
                </c:pt>
                <c:pt idx="865">
                  <c:v>786.02923903053897</c:v>
                </c:pt>
                <c:pt idx="866">
                  <c:v>786.02923903053897</c:v>
                </c:pt>
                <c:pt idx="867">
                  <c:v>786.02923903053897</c:v>
                </c:pt>
                <c:pt idx="868">
                  <c:v>786.02923903053897</c:v>
                </c:pt>
                <c:pt idx="869">
                  <c:v>786.02923903053897</c:v>
                </c:pt>
                <c:pt idx="870">
                  <c:v>786.02923903053897</c:v>
                </c:pt>
                <c:pt idx="871">
                  <c:v>786.02923903053897</c:v>
                </c:pt>
                <c:pt idx="872">
                  <c:v>786.02923903053897</c:v>
                </c:pt>
                <c:pt idx="873">
                  <c:v>786.02923903053897</c:v>
                </c:pt>
                <c:pt idx="874">
                  <c:v>786.02923903053897</c:v>
                </c:pt>
                <c:pt idx="875">
                  <c:v>786.02923903053897</c:v>
                </c:pt>
                <c:pt idx="876">
                  <c:v>786.02923903053897</c:v>
                </c:pt>
                <c:pt idx="877">
                  <c:v>786.02923903053897</c:v>
                </c:pt>
                <c:pt idx="878">
                  <c:v>786.02923903053897</c:v>
                </c:pt>
                <c:pt idx="879">
                  <c:v>786.02923903053897</c:v>
                </c:pt>
                <c:pt idx="880">
                  <c:v>786.02923903053897</c:v>
                </c:pt>
                <c:pt idx="881">
                  <c:v>786.02923903053897</c:v>
                </c:pt>
                <c:pt idx="882">
                  <c:v>786.02923903053897</c:v>
                </c:pt>
                <c:pt idx="883">
                  <c:v>786.02923903053897</c:v>
                </c:pt>
                <c:pt idx="884">
                  <c:v>786.02923903053897</c:v>
                </c:pt>
                <c:pt idx="885">
                  <c:v>786.02923903053897</c:v>
                </c:pt>
                <c:pt idx="886">
                  <c:v>786.02923903053897</c:v>
                </c:pt>
                <c:pt idx="887">
                  <c:v>786.02923903053897</c:v>
                </c:pt>
                <c:pt idx="888">
                  <c:v>786.02923903053897</c:v>
                </c:pt>
                <c:pt idx="889">
                  <c:v>786.02923903053897</c:v>
                </c:pt>
                <c:pt idx="890">
                  <c:v>786.02923903053897</c:v>
                </c:pt>
                <c:pt idx="891">
                  <c:v>786.02923903053897</c:v>
                </c:pt>
                <c:pt idx="892">
                  <c:v>786.02923903053897</c:v>
                </c:pt>
                <c:pt idx="893">
                  <c:v>786.02923903053897</c:v>
                </c:pt>
                <c:pt idx="894">
                  <c:v>786.02923903053897</c:v>
                </c:pt>
                <c:pt idx="895">
                  <c:v>786.02923903053897</c:v>
                </c:pt>
                <c:pt idx="896">
                  <c:v>786.02923903053897</c:v>
                </c:pt>
                <c:pt idx="897">
                  <c:v>786.02923903053897</c:v>
                </c:pt>
                <c:pt idx="898">
                  <c:v>786.02923903053897</c:v>
                </c:pt>
                <c:pt idx="899">
                  <c:v>786.02923903053897</c:v>
                </c:pt>
                <c:pt idx="900">
                  <c:v>786.02923903053897</c:v>
                </c:pt>
                <c:pt idx="901">
                  <c:v>786.02923903053897</c:v>
                </c:pt>
                <c:pt idx="902">
                  <c:v>786.02923903053897</c:v>
                </c:pt>
                <c:pt idx="903">
                  <c:v>786.02923903053897</c:v>
                </c:pt>
                <c:pt idx="904">
                  <c:v>786.02923903053897</c:v>
                </c:pt>
                <c:pt idx="905">
                  <c:v>786.02923903053897</c:v>
                </c:pt>
                <c:pt idx="906">
                  <c:v>786.02923903053897</c:v>
                </c:pt>
                <c:pt idx="907">
                  <c:v>786.02923903053897</c:v>
                </c:pt>
                <c:pt idx="908">
                  <c:v>786.02923903053897</c:v>
                </c:pt>
                <c:pt idx="909">
                  <c:v>786.02923903053897</c:v>
                </c:pt>
                <c:pt idx="910">
                  <c:v>786.02923903053897</c:v>
                </c:pt>
                <c:pt idx="911">
                  <c:v>786.02923903053897</c:v>
                </c:pt>
                <c:pt idx="912">
                  <c:v>786.02923903053897</c:v>
                </c:pt>
                <c:pt idx="913">
                  <c:v>786.02923903053897</c:v>
                </c:pt>
                <c:pt idx="914">
                  <c:v>786.02923903053897</c:v>
                </c:pt>
                <c:pt idx="915">
                  <c:v>786.02923903053897</c:v>
                </c:pt>
                <c:pt idx="916">
                  <c:v>786.02923903053897</c:v>
                </c:pt>
                <c:pt idx="917">
                  <c:v>786.02923903053897</c:v>
                </c:pt>
                <c:pt idx="918">
                  <c:v>786.02923903053897</c:v>
                </c:pt>
                <c:pt idx="919">
                  <c:v>786.02923903053897</c:v>
                </c:pt>
                <c:pt idx="920">
                  <c:v>786.02923903053897</c:v>
                </c:pt>
                <c:pt idx="921">
                  <c:v>786.02923903053897</c:v>
                </c:pt>
                <c:pt idx="922">
                  <c:v>786.02923903053897</c:v>
                </c:pt>
                <c:pt idx="923">
                  <c:v>786.02923903053897</c:v>
                </c:pt>
                <c:pt idx="924">
                  <c:v>786.02923903053897</c:v>
                </c:pt>
                <c:pt idx="925">
                  <c:v>786.02923903053897</c:v>
                </c:pt>
                <c:pt idx="926">
                  <c:v>786.02923903053897</c:v>
                </c:pt>
                <c:pt idx="927">
                  <c:v>786.02923903053897</c:v>
                </c:pt>
                <c:pt idx="928">
                  <c:v>786.02923903053897</c:v>
                </c:pt>
                <c:pt idx="929">
                  <c:v>786.02923903053897</c:v>
                </c:pt>
                <c:pt idx="930">
                  <c:v>786.02923903053897</c:v>
                </c:pt>
                <c:pt idx="931">
                  <c:v>786.02923903053897</c:v>
                </c:pt>
                <c:pt idx="932">
                  <c:v>786.02923903053897</c:v>
                </c:pt>
                <c:pt idx="933">
                  <c:v>786.02923903053897</c:v>
                </c:pt>
                <c:pt idx="934">
                  <c:v>786.02923903053897</c:v>
                </c:pt>
                <c:pt idx="935">
                  <c:v>786.02923903053897</c:v>
                </c:pt>
                <c:pt idx="936">
                  <c:v>786.02923903053897</c:v>
                </c:pt>
                <c:pt idx="937">
                  <c:v>786.02923903053897</c:v>
                </c:pt>
                <c:pt idx="938">
                  <c:v>786.02923903053897</c:v>
                </c:pt>
                <c:pt idx="939">
                  <c:v>786.02923903053897</c:v>
                </c:pt>
                <c:pt idx="940">
                  <c:v>786.02923903053897</c:v>
                </c:pt>
                <c:pt idx="941">
                  <c:v>786.02923903053897</c:v>
                </c:pt>
                <c:pt idx="942">
                  <c:v>786.02923903053897</c:v>
                </c:pt>
                <c:pt idx="943">
                  <c:v>786.02923903053897</c:v>
                </c:pt>
                <c:pt idx="944">
                  <c:v>786.02923903053897</c:v>
                </c:pt>
                <c:pt idx="945">
                  <c:v>786.02923903053897</c:v>
                </c:pt>
                <c:pt idx="946">
                  <c:v>786.02923903053897</c:v>
                </c:pt>
                <c:pt idx="947">
                  <c:v>786.02923903053897</c:v>
                </c:pt>
                <c:pt idx="948">
                  <c:v>786.02923903053897</c:v>
                </c:pt>
                <c:pt idx="949">
                  <c:v>786.02923903053897</c:v>
                </c:pt>
                <c:pt idx="950">
                  <c:v>786.02923903053897</c:v>
                </c:pt>
                <c:pt idx="951">
                  <c:v>786.02923903053897</c:v>
                </c:pt>
                <c:pt idx="952">
                  <c:v>786.02923903053897</c:v>
                </c:pt>
                <c:pt idx="953">
                  <c:v>786.02923903053897</c:v>
                </c:pt>
                <c:pt idx="954">
                  <c:v>786.02923903053897</c:v>
                </c:pt>
                <c:pt idx="955">
                  <c:v>786.02923903053897</c:v>
                </c:pt>
                <c:pt idx="956">
                  <c:v>786.02923903053897</c:v>
                </c:pt>
                <c:pt idx="957">
                  <c:v>786.02923903053897</c:v>
                </c:pt>
                <c:pt idx="958">
                  <c:v>786.02923903053897</c:v>
                </c:pt>
                <c:pt idx="959">
                  <c:v>786.02923903053897</c:v>
                </c:pt>
                <c:pt idx="960">
                  <c:v>786.02923903053897</c:v>
                </c:pt>
                <c:pt idx="961">
                  <c:v>786.02923903053897</c:v>
                </c:pt>
                <c:pt idx="962">
                  <c:v>786.02923903053897</c:v>
                </c:pt>
                <c:pt idx="963">
                  <c:v>786.02923903053897</c:v>
                </c:pt>
                <c:pt idx="964">
                  <c:v>786.02923903053897</c:v>
                </c:pt>
                <c:pt idx="965">
                  <c:v>786.02923903053897</c:v>
                </c:pt>
                <c:pt idx="966">
                  <c:v>786.02923903053897</c:v>
                </c:pt>
                <c:pt idx="967">
                  <c:v>786.02923903053897</c:v>
                </c:pt>
                <c:pt idx="968">
                  <c:v>786.02923903053897</c:v>
                </c:pt>
                <c:pt idx="969">
                  <c:v>786.02923903053897</c:v>
                </c:pt>
                <c:pt idx="970">
                  <c:v>786.02923903053897</c:v>
                </c:pt>
                <c:pt idx="971">
                  <c:v>786.02923903053897</c:v>
                </c:pt>
                <c:pt idx="972">
                  <c:v>786.02923903053897</c:v>
                </c:pt>
                <c:pt idx="973">
                  <c:v>786.02923903053897</c:v>
                </c:pt>
                <c:pt idx="974">
                  <c:v>786.02923903053897</c:v>
                </c:pt>
                <c:pt idx="975">
                  <c:v>786.02923903053897</c:v>
                </c:pt>
                <c:pt idx="976">
                  <c:v>786.02923903053897</c:v>
                </c:pt>
                <c:pt idx="977">
                  <c:v>786.02923903053897</c:v>
                </c:pt>
                <c:pt idx="978">
                  <c:v>786.02923903053897</c:v>
                </c:pt>
                <c:pt idx="979">
                  <c:v>786.02923903053897</c:v>
                </c:pt>
                <c:pt idx="980">
                  <c:v>786.02923903053897</c:v>
                </c:pt>
                <c:pt idx="981">
                  <c:v>786.02923903053897</c:v>
                </c:pt>
                <c:pt idx="982">
                  <c:v>786.02923903053897</c:v>
                </c:pt>
                <c:pt idx="983">
                  <c:v>786.02923903053897</c:v>
                </c:pt>
                <c:pt idx="984">
                  <c:v>786.02923903053897</c:v>
                </c:pt>
                <c:pt idx="985">
                  <c:v>786.02923903053897</c:v>
                </c:pt>
                <c:pt idx="986">
                  <c:v>786.02923903053897</c:v>
                </c:pt>
                <c:pt idx="987">
                  <c:v>786.02923903053897</c:v>
                </c:pt>
                <c:pt idx="988">
                  <c:v>786.02923903053897</c:v>
                </c:pt>
                <c:pt idx="989">
                  <c:v>786.02923903053897</c:v>
                </c:pt>
                <c:pt idx="990">
                  <c:v>786.02923903053897</c:v>
                </c:pt>
                <c:pt idx="991">
                  <c:v>786.02923903053897</c:v>
                </c:pt>
                <c:pt idx="992">
                  <c:v>786.02923903053897</c:v>
                </c:pt>
                <c:pt idx="993">
                  <c:v>786.02923903053897</c:v>
                </c:pt>
                <c:pt idx="994">
                  <c:v>786.02923903053897</c:v>
                </c:pt>
                <c:pt idx="995">
                  <c:v>786.02923903053897</c:v>
                </c:pt>
                <c:pt idx="996">
                  <c:v>786.02923903053897</c:v>
                </c:pt>
                <c:pt idx="997">
                  <c:v>786.02923903053897</c:v>
                </c:pt>
                <c:pt idx="998">
                  <c:v>786.02923903053897</c:v>
                </c:pt>
                <c:pt idx="999">
                  <c:v>786.02923903053897</c:v>
                </c:pt>
                <c:pt idx="1000">
                  <c:v>786.02923903053897</c:v>
                </c:pt>
              </c:numCache>
            </c:numRef>
          </c:xVal>
          <c:yVal>
            <c:numRef>
              <c:f>Calculs!$AE$4:$AE$1004</c:f>
              <c:numCache>
                <c:formatCode>0</c:formatCode>
                <c:ptCount val="1001"/>
                <c:pt idx="0">
                  <c:v>0</c:v>
                </c:pt>
                <c:pt idx="1">
                  <c:v>9.5669889931573524E-4</c:v>
                </c:pt>
                <c:pt idx="2">
                  <c:v>7.8147455232856784E-3</c:v>
                </c:pt>
                <c:pt idx="3">
                  <c:v>2.6992684424835094E-2</c:v>
                </c:pt>
                <c:pt idx="4">
                  <c:v>6.0667505481540311E-2</c:v>
                </c:pt>
                <c:pt idx="5">
                  <c:v>0.10833133201655158</c:v>
                </c:pt>
                <c:pt idx="6">
                  <c:v>0.16963037567637684</c:v>
                </c:pt>
                <c:pt idx="7">
                  <c:v>0.24452081130294206</c:v>
                </c:pt>
                <c:pt idx="8">
                  <c:v>0.33311404982606618</c:v>
                </c:pt>
                <c:pt idx="9">
                  <c:v>0.43552155773738688</c:v>
                </c:pt>
                <c:pt idx="10">
                  <c:v>0.55185485461711581</c:v>
                </c:pt>
                <c:pt idx="11">
                  <c:v>0.68220937776239388</c:v>
                </c:pt>
                <c:pt idx="12">
                  <c:v>0.82664829999510614</c:v>
                </c:pt>
                <c:pt idx="13">
                  <c:v>0.98521859103618514</c:v>
                </c:pt>
                <c:pt idx="14">
                  <c:v>1.1579671260518243</c:v>
                </c:pt>
                <c:pt idx="15">
                  <c:v>1.3449406838593987</c:v>
                </c:pt>
                <c:pt idx="16">
                  <c:v>1.5461859451278346</c:v>
                </c:pt>
                <c:pt idx="17">
                  <c:v>1.7617494905725721</c:v>
                </c:pt>
                <c:pt idx="18">
                  <c:v>1.9916777991452683</c:v>
                </c:pt>
                <c:pt idx="19">
                  <c:v>2.2360172462183869</c:v>
                </c:pt>
                <c:pt idx="20">
                  <c:v>2.4948141017648275</c:v>
                </c:pt>
                <c:pt idx="21">
                  <c:v>2.7681080494960266</c:v>
                </c:pt>
                <c:pt idx="22">
                  <c:v>3.0559256875977927</c:v>
                </c:pt>
                <c:pt idx="23">
                  <c:v>3.3582869794392054</c:v>
                </c:pt>
                <c:pt idx="24">
                  <c:v>3.6752117230480756</c:v>
                </c:pt>
                <c:pt idx="25">
                  <c:v>4.006719550019838</c:v>
                </c:pt>
                <c:pt idx="26">
                  <c:v>4.3528151225208758</c:v>
                </c:pt>
                <c:pt idx="27">
                  <c:v>4.7135022929252681</c:v>
                </c:pt>
                <c:pt idx="28">
                  <c:v>5.0887989139176417</c:v>
                </c:pt>
                <c:pt idx="29">
                  <c:v>5.4787226962524684</c:v>
                </c:pt>
                <c:pt idx="30">
                  <c:v>5.8832912166398641</c:v>
                </c:pt>
                <c:pt idx="31">
                  <c:v>6.3025219141642737</c:v>
                </c:pt>
                <c:pt idx="32">
                  <c:v>6.7364320869631626</c:v>
                </c:pt>
                <c:pt idx="33">
                  <c:v>7.1850388891331489</c:v>
                </c:pt>
                <c:pt idx="34">
                  <c:v>7.6483593278361628</c:v>
                </c:pt>
                <c:pt idx="35">
                  <c:v>8.1264102605823965</c:v>
                </c:pt>
                <c:pt idx="36">
                  <c:v>8.6192083926702825</c:v>
                </c:pt>
                <c:pt idx="37">
                  <c:v>9.1267702747665815</c:v>
                </c:pt>
                <c:pt idx="38">
                  <c:v>9.6491123006120247</c:v>
                </c:pt>
                <c:pt idx="39">
                  <c:v>10.186250704839962</c:v>
                </c:pt>
                <c:pt idx="40">
                  <c:v>10.738201560897135</c:v>
                </c:pt>
                <c:pt idx="41">
                  <c:v>11.30497573154603</c:v>
                </c:pt>
                <c:pt idx="42">
                  <c:v>11.886573806987526</c:v>
                </c:pt>
                <c:pt idx="43">
                  <c:v>12.48299113334086</c:v>
                </c:pt>
                <c:pt idx="44">
                  <c:v>13.094222854003295</c:v>
                </c:pt>
                <c:pt idx="45">
                  <c:v>13.720263908657003</c:v>
                </c:pt>
                <c:pt idx="46">
                  <c:v>14.361109032348294</c:v>
                </c:pt>
                <c:pt idx="47">
                  <c:v>15.016752754634005</c:v>
                </c:pt>
                <c:pt idx="48">
                  <c:v>15.687189398790466</c:v>
                </c:pt>
                <c:pt idx="49">
                  <c:v>16.372413081080914</c:v>
                </c:pt>
                <c:pt idx="50">
                  <c:v>17.072417710077747</c:v>
                </c:pt>
                <c:pt idx="51">
                  <c:v>17.787196986036282</c:v>
                </c:pt>
                <c:pt idx="52">
                  <c:v>18.516744400317094</c:v>
                </c:pt>
                <c:pt idx="53">
                  <c:v>19.261053234854291</c:v>
                </c:pt>
                <c:pt idx="54">
                  <c:v>20.020116561667326</c:v>
                </c:pt>
                <c:pt idx="55">
                  <c:v>20.793927242414163</c:v>
                </c:pt>
                <c:pt idx="56">
                  <c:v>21.58247792798387</c:v>
                </c:pt>
                <c:pt idx="57">
                  <c:v>22.385761058126832</c:v>
                </c:pt>
                <c:pt idx="58">
                  <c:v>23.203768861120967</c:v>
                </c:pt>
                <c:pt idx="59">
                  <c:v>24.036493353472483</c:v>
                </c:pt>
                <c:pt idx="60">
                  <c:v>24.883926339649811</c:v>
                </c:pt>
                <c:pt idx="61">
                  <c:v>25.746059411849487</c:v>
                </c:pt>
                <c:pt idx="62">
                  <c:v>26.62288394979284</c:v>
                </c:pt>
                <c:pt idx="63">
                  <c:v>27.514391120552467</c:v>
                </c:pt>
                <c:pt idx="64">
                  <c:v>28.420571878407515</c:v>
                </c:pt>
                <c:pt idx="65">
                  <c:v>29.341416964726893</c:v>
                </c:pt>
                <c:pt idx="66">
                  <c:v>30.276916907879627</c:v>
                </c:pt>
                <c:pt idx="67">
                  <c:v>31.227062023171555</c:v>
                </c:pt>
                <c:pt idx="68">
                  <c:v>32.191842412807688</c:v>
                </c:pt>
                <c:pt idx="69">
                  <c:v>33.171247965879623</c:v>
                </c:pt>
                <c:pt idx="70">
                  <c:v>34.165268358377332</c:v>
                </c:pt>
                <c:pt idx="71">
                  <c:v>35.173893053224816</c:v>
                </c:pt>
                <c:pt idx="72">
                  <c:v>36.197111300339095</c:v>
                </c:pt>
                <c:pt idx="73">
                  <c:v>37.234912136712033</c:v>
                </c:pt>
                <c:pt idx="74">
                  <c:v>38.287284386514528</c:v>
                </c:pt>
                <c:pt idx="75">
                  <c:v>39.354216661222665</c:v>
                </c:pt>
                <c:pt idx="76">
                  <c:v>40.435697359765399</c:v>
                </c:pt>
                <c:pt idx="77">
                  <c:v>41.53171466869339</c:v>
                </c:pt>
                <c:pt idx="78">
                  <c:v>42.642256562368658</c:v>
                </c:pt>
                <c:pt idx="79">
                  <c:v>43.767310803174666</c:v>
                </c:pt>
                <c:pt idx="80">
                  <c:v>44.906864941746555</c:v>
                </c:pt>
                <c:pt idx="81">
                  <c:v>46.060901173973988</c:v>
                </c:pt>
                <c:pt idx="82">
                  <c:v>47.229391188020493</c:v>
                </c:pt>
                <c:pt idx="83">
                  <c:v>48.41230129613966</c:v>
                </c:pt>
                <c:pt idx="84">
                  <c:v>49.609597576989934</c:v>
                </c:pt>
                <c:pt idx="85">
                  <c:v>50.821245876915398</c:v>
                </c:pt>
                <c:pt idx="86">
                  <c:v>52.047211811247202</c:v>
                </c:pt>
                <c:pt idx="87">
                  <c:v>53.287460765625205</c:v>
                </c:pt>
                <c:pt idx="88">
                  <c:v>54.541957897339366</c:v>
                </c:pt>
                <c:pt idx="89">
                  <c:v>55.810668136690488</c:v>
                </c:pt>
                <c:pt idx="90">
                  <c:v>57.093556188369924</c:v>
                </c:pt>
                <c:pt idx="91">
                  <c:v>58.390584258023168</c:v>
                </c:pt>
                <c:pt idx="92">
                  <c:v>59.701709774842016</c:v>
                </c:pt>
                <c:pt idx="93">
                  <c:v>61.026887663502151</c:v>
                </c:pt>
                <c:pt idx="94">
                  <c:v>62.366072620338954</c:v>
                </c:pt>
                <c:pt idx="95">
                  <c:v>63.719219115278584</c:v>
                </c:pt>
                <c:pt idx="96">
                  <c:v>65.086281393785441</c:v>
                </c:pt>
                <c:pt idx="97">
                  <c:v>66.467213478825656</c:v>
                </c:pt>
                <c:pt idx="98">
                  <c:v>67.861969172846131</c:v>
                </c:pt>
                <c:pt idx="99">
                  <c:v>69.27050205976866</c:v>
                </c:pt>
                <c:pt idx="100">
                  <c:v>70.692765506998754</c:v>
                </c:pt>
                <c:pt idx="101">
                  <c:v>72.128712303204182</c:v>
                </c:pt>
                <c:pt idx="102">
                  <c:v>73.578294295543742</c:v>
                </c:pt>
                <c:pt idx="103">
                  <c:v>75.041462755411374</c:v>
                </c:pt>
                <c:pt idx="104">
                  <c:v>76.518168744794778</c:v>
                </c:pt>
                <c:pt idx="105">
                  <c:v>78.00836311842717</c:v>
                </c:pt>
                <c:pt idx="106">
                  <c:v>79.511996525951048</c:v>
                </c:pt>
                <c:pt idx="107">
                  <c:v>81.029019414093682</c:v>
                </c:pt>
                <c:pt idx="108">
                  <c:v>82.559382028853761</c:v>
                </c:pt>
                <c:pt idx="109">
                  <c:v>84.10303441769895</c:v>
                </c:pt>
                <c:pt idx="110">
                  <c:v>85.659926431773883</c:v>
                </c:pt>
                <c:pt idx="111">
                  <c:v>87.23001192631898</c:v>
                </c:pt>
                <c:pt idx="112">
                  <c:v>88.813252966740635</c:v>
                </c:pt>
                <c:pt idx="113">
                  <c:v>90.409615637399767</c:v>
                </c:pt>
                <c:pt idx="114">
                  <c:v>92.01906584435514</c:v>
                </c:pt>
                <c:pt idx="115">
                  <c:v>93.64156931679392</c:v>
                </c:pt>
                <c:pt idx="116">
                  <c:v>95.277091608472546</c:v>
                </c:pt>
                <c:pt idx="117">
                  <c:v>96.925598099167672</c:v>
                </c:pt>
                <c:pt idx="118">
                  <c:v>98.587053996136902</c:v>
                </c:pt>
                <c:pt idx="119">
                  <c:v>100.26142433558914</c:v>
                </c:pt>
                <c:pt idx="120">
                  <c:v>101.94867398416433</c:v>
                </c:pt>
                <c:pt idx="121">
                  <c:v>103.64876066985023</c:v>
                </c:pt>
                <c:pt idx="122">
                  <c:v>105.3616280047659</c:v>
                </c:pt>
                <c:pt idx="123">
                  <c:v>107.08721245174156</c:v>
                </c:pt>
                <c:pt idx="124">
                  <c:v>108.8254502997507</c:v>
                </c:pt>
                <c:pt idx="125">
                  <c:v>110.57627766683351</c:v>
                </c:pt>
                <c:pt idx="126">
                  <c:v>112.33963050302273</c:v>
                </c:pt>
                <c:pt idx="127">
                  <c:v>114.11544459327139</c:v>
                </c:pt>
                <c:pt idx="128">
                  <c:v>115.90365556038202</c:v>
                </c:pt>
                <c:pt idx="129">
                  <c:v>117.70419886793688</c:v>
                </c:pt>
                <c:pt idx="130">
                  <c:v>119.51700982322879</c:v>
                </c:pt>
                <c:pt idx="131">
                  <c:v>121.34202175337278</c:v>
                </c:pt>
                <c:pt idx="132">
                  <c:v>123.17916417971402</c:v>
                </c:pt>
                <c:pt idx="133">
                  <c:v>125.0283646469301</c:v>
                </c:pt>
                <c:pt idx="134">
                  <c:v>126.88955055403305</c:v>
                </c:pt>
                <c:pt idx="135">
                  <c:v>128.76264915769033</c:v>
                </c:pt>
                <c:pt idx="136">
                  <c:v>130.64758757554105</c:v>
                </c:pt>
                <c:pt idx="137">
                  <c:v>132.5442927895073</c:v>
                </c:pt>
                <c:pt idx="138">
                  <c:v>134.45269164909971</c:v>
                </c:pt>
                <c:pt idx="139">
                  <c:v>136.37271087471717</c:v>
                </c:pt>
                <c:pt idx="140">
                  <c:v>138.30427706094005</c:v>
                </c:pt>
                <c:pt idx="141">
                  <c:v>140.24729481493463</c:v>
                </c:pt>
                <c:pt idx="142">
                  <c:v>142.20162488015424</c:v>
                </c:pt>
                <c:pt idx="143">
                  <c:v>144.16710600725878</c:v>
                </c:pt>
                <c:pt idx="144">
                  <c:v>146.14357684261009</c:v>
                </c:pt>
                <c:pt idx="145">
                  <c:v>148.13087593727192</c:v>
                </c:pt>
                <c:pt idx="146">
                  <c:v>150.12884175594004</c:v>
                </c:pt>
                <c:pt idx="147">
                  <c:v>152.13731268580099</c:v>
                </c:pt>
                <c:pt idx="148">
                  <c:v>154.15612704531819</c:v>
                </c:pt>
                <c:pt idx="149">
                  <c:v>156.18512309294394</c:v>
                </c:pt>
                <c:pt idx="150">
                  <c:v>158.22413903575611</c:v>
                </c:pt>
                <c:pt idx="151">
                  <c:v>160.27301303801812</c:v>
                </c:pt>
                <c:pt idx="152">
                  <c:v>162.33158322966094</c:v>
                </c:pt>
                <c:pt idx="153">
                  <c:v>164.39968771468605</c:v>
                </c:pt>
                <c:pt idx="154">
                  <c:v>166.47716457948809</c:v>
                </c:pt>
                <c:pt idx="155">
                  <c:v>168.56385190109609</c:v>
                </c:pt>
                <c:pt idx="156">
                  <c:v>170.65948406873861</c:v>
                </c:pt>
                <c:pt idx="157">
                  <c:v>172.76358810997405</c:v>
                </c:pt>
                <c:pt idx="158">
                  <c:v>174.87558752968414</c:v>
                </c:pt>
                <c:pt idx="159">
                  <c:v>176.99490617163832</c:v>
                </c:pt>
                <c:pt idx="160">
                  <c:v>179.1209682804064</c:v>
                </c:pt>
                <c:pt idx="161">
                  <c:v>181.25306670071873</c:v>
                </c:pt>
                <c:pt idx="162">
                  <c:v>183.39023118914014</c:v>
                </c:pt>
                <c:pt idx="163">
                  <c:v>185.53137327724281</c:v>
                </c:pt>
                <c:pt idx="164">
                  <c:v>187.67543107044997</c:v>
                </c:pt>
                <c:pt idx="165">
                  <c:v>189.82148279423609</c:v>
                </c:pt>
                <c:pt idx="166">
                  <c:v>191.96886013002424</c:v>
                </c:pt>
                <c:pt idx="167">
                  <c:v>194.11692611771124</c:v>
                </c:pt>
                <c:pt idx="168">
                  <c:v>196.26492268820803</c:v>
                </c:pt>
                <c:pt idx="169">
                  <c:v>198.41186894639603</c:v>
                </c:pt>
                <c:pt idx="170">
                  <c:v>200.5565290609434</c:v>
                </c:pt>
                <c:pt idx="171">
                  <c:v>202.69803915135117</c:v>
                </c:pt>
                <c:pt idx="172">
                  <c:v>204.83618618955552</c:v>
                </c:pt>
                <c:pt idx="173">
                  <c:v>206.97097811692322</c:v>
                </c:pt>
                <c:pt idx="174">
                  <c:v>209.10242284155143</c:v>
                </c:pt>
                <c:pt idx="175">
                  <c:v>211.23052823845293</c:v>
                </c:pt>
                <c:pt idx="176">
                  <c:v>213.35530214974031</c:v>
                </c:pt>
                <c:pt idx="177">
                  <c:v>215.47675238480855</c:v>
                </c:pt>
                <c:pt idx="178">
                  <c:v>217.5948867205166</c:v>
                </c:pt>
                <c:pt idx="179">
                  <c:v>219.70971290136751</c:v>
                </c:pt>
                <c:pt idx="180">
                  <c:v>221.82123863968746</c:v>
                </c:pt>
                <c:pt idx="181">
                  <c:v>223.92947161580332</c:v>
                </c:pt>
                <c:pt idx="182">
                  <c:v>226.03441947821921</c:v>
                </c:pt>
                <c:pt idx="183">
                  <c:v>228.13608984379167</c:v>
                </c:pt>
                <c:pt idx="184">
                  <c:v>230.23449029790373</c:v>
                </c:pt>
                <c:pt idx="185">
                  <c:v>232.32962839463764</c:v>
                </c:pt>
                <c:pt idx="186">
                  <c:v>234.42151165694651</c:v>
                </c:pt>
                <c:pt idx="187">
                  <c:v>236.51014757682478</c:v>
                </c:pt>
                <c:pt idx="188">
                  <c:v>238.59554361547742</c:v>
                </c:pt>
                <c:pt idx="189">
                  <c:v>240.67770720348804</c:v>
                </c:pt>
                <c:pt idx="190">
                  <c:v>242.75664574098573</c:v>
                </c:pt>
                <c:pt idx="191">
                  <c:v>244.83236659781096</c:v>
                </c:pt>
                <c:pt idx="192">
                  <c:v>246.90487711368016</c:v>
                </c:pt>
                <c:pt idx="193">
                  <c:v>248.97418459834918</c:v>
                </c:pt>
                <c:pt idx="194">
                  <c:v>251.04029633177583</c:v>
                </c:pt>
                <c:pt idx="195">
                  <c:v>253.10321956428098</c:v>
                </c:pt>
                <c:pt idx="196">
                  <c:v>255.16296151670886</c:v>
                </c:pt>
                <c:pt idx="197">
                  <c:v>257.21952938058615</c:v>
                </c:pt>
                <c:pt idx="198">
                  <c:v>259.27293031827998</c:v>
                </c:pt>
                <c:pt idx="199">
                  <c:v>261.32317146315472</c:v>
                </c:pt>
                <c:pt idx="200">
                  <c:v>263.37025991972808</c:v>
                </c:pt>
                <c:pt idx="201">
                  <c:v>283.66829468346327</c:v>
                </c:pt>
                <c:pt idx="202">
                  <c:v>303.65560741061989</c:v>
                </c:pt>
                <c:pt idx="203">
                  <c:v>323.33903236373135</c:v>
                </c:pt>
                <c:pt idx="204">
                  <c:v>342.72513496630921</c:v>
                </c:pt>
                <c:pt idx="205">
                  <c:v>361.82022568921786</c:v>
                </c:pt>
                <c:pt idx="206">
                  <c:v>380.63037304105472</c:v>
                </c:pt>
                <c:pt idx="207">
                  <c:v>399.16141573136991</c:v>
                </c:pt>
                <c:pt idx="208">
                  <c:v>417.41897406944025</c:v>
                </c:pt>
                <c:pt idx="209">
                  <c:v>435.40846065581081</c:v>
                </c:pt>
                <c:pt idx="210">
                  <c:v>453.1350904188613</c:v>
                </c:pt>
                <c:pt idx="211">
                  <c:v>470.6038900441842</c:v>
                </c:pt>
                <c:pt idx="212">
                  <c:v>487.81970684052635</c:v>
                </c:pt>
                <c:pt idx="213">
                  <c:v>504.78721708239391</c:v>
                </c:pt>
                <c:pt idx="214">
                  <c:v>521.51093386611592</c:v>
                </c:pt>
                <c:pt idx="215">
                  <c:v>537.99521451316571</c:v>
                </c:pt>
                <c:pt idx="216">
                  <c:v>554.24426755181798</c:v>
                </c:pt>
                <c:pt idx="217">
                  <c:v>570.26215930574847</c:v>
                </c:pt>
                <c:pt idx="218">
                  <c:v>586.05282011593454</c:v>
                </c:pt>
                <c:pt idx="219">
                  <c:v>601.62005022016444</c:v>
                </c:pt>
                <c:pt idx="220">
                  <c:v>616.96752531259722</c:v>
                </c:pt>
                <c:pt idx="221">
                  <c:v>632.09880180410789</c:v>
                </c:pt>
                <c:pt idx="222">
                  <c:v>647.01732180259648</c:v>
                </c:pt>
                <c:pt idx="223">
                  <c:v>661.72641783101085</c:v>
                </c:pt>
                <c:pt idx="224">
                  <c:v>676.22931729953143</c:v>
                </c:pt>
                <c:pt idx="225">
                  <c:v>690.52914674716646</c:v>
                </c:pt>
                <c:pt idx="226">
                  <c:v>704.62893586691018</c:v>
                </c:pt>
                <c:pt idx="227">
                  <c:v>718.53162132760872</c:v>
                </c:pt>
                <c:pt idx="228">
                  <c:v>732.24005040475038</c:v>
                </c:pt>
                <c:pt idx="229">
                  <c:v>745.75698443154556</c:v>
                </c:pt>
                <c:pt idx="230">
                  <c:v>759.08510208087625</c:v>
                </c:pt>
                <c:pt idx="231">
                  <c:v>772.22700248797207</c:v>
                </c:pt>
                <c:pt idx="232">
                  <c:v>785.18520822300138</c:v>
                </c:pt>
                <c:pt idx="233">
                  <c:v>797.96216812215118</c:v>
                </c:pt>
                <c:pt idx="234">
                  <c:v>810.56025998519976</c:v>
                </c:pt>
                <c:pt idx="235">
                  <c:v>822.98179314705976</c:v>
                </c:pt>
                <c:pt idx="236">
                  <c:v>835.22901093028247</c:v>
                </c:pt>
                <c:pt idx="237">
                  <c:v>847.30409298506368</c:v>
                </c:pt>
                <c:pt idx="238">
                  <c:v>859.20915752287192</c:v>
                </c:pt>
                <c:pt idx="239">
                  <c:v>870.94626344943447</c:v>
                </c:pt>
                <c:pt idx="240">
                  <c:v>882.51741240245531</c:v>
                </c:pt>
                <c:pt idx="241">
                  <c:v>893.92455069910454</c:v>
                </c:pt>
                <c:pt idx="242">
                  <c:v>905.169571198011</c:v>
                </c:pt>
                <c:pt idx="243">
                  <c:v>916.25431508019699</c:v>
                </c:pt>
                <c:pt idx="244">
                  <c:v>927.18057355312931</c:v>
                </c:pt>
                <c:pt idx="245">
                  <c:v>937.95008948180725</c:v>
                </c:pt>
                <c:pt idx="246">
                  <c:v>948.56455895057707</c:v>
                </c:pt>
                <c:pt idx="247">
                  <c:v>959.02563275914395</c:v>
                </c:pt>
                <c:pt idx="248">
                  <c:v>969.33491785604974</c:v>
                </c:pt>
                <c:pt idx="249">
                  <c:v>979.49397871269559</c:v>
                </c:pt>
                <c:pt idx="250">
                  <c:v>989.5043386408114</c:v>
                </c:pt>
                <c:pt idx="251">
                  <c:v>999.36748105610877</c:v>
                </c:pt>
                <c:pt idx="252">
                  <c:v>1009.0848506906991</c:v>
                </c:pt>
                <c:pt idx="253">
                  <c:v>1018.6578547567143</c:v>
                </c:pt>
                <c:pt idx="254">
                  <c:v>1028.0878640634319</c:v>
                </c:pt>
                <c:pt idx="255">
                  <c:v>1037.3762140900787</c:v>
                </c:pt>
                <c:pt idx="256">
                  <c:v>1046.5242060163703</c:v>
                </c:pt>
                <c:pt idx="257">
                  <c:v>1055.5331077127275</c:v>
                </c:pt>
                <c:pt idx="258">
                  <c:v>1064.4041546920148</c:v>
                </c:pt>
                <c:pt idx="259">
                  <c:v>1073.1385510245357</c:v>
                </c:pt>
                <c:pt idx="260">
                  <c:v>1081.7374702179393</c:v>
                </c:pt>
                <c:pt idx="261">
                  <c:v>1090.2020560635988</c:v>
                </c:pt>
                <c:pt idx="262">
                  <c:v>1098.5334234509421</c:v>
                </c:pt>
                <c:pt idx="263">
                  <c:v>1106.732659151141</c:v>
                </c:pt>
                <c:pt idx="264">
                  <c:v>1114.80082257149</c:v>
                </c:pt>
                <c:pt idx="265">
                  <c:v>1122.7389464817406</c:v>
                </c:pt>
                <c:pt idx="266">
                  <c:v>1130.5480377135914</c:v>
                </c:pt>
                <c:pt idx="267">
                  <c:v>1138.2290778344752</c:v>
                </c:pt>
                <c:pt idx="268">
                  <c:v>1145.7830237967282</c:v>
                </c:pt>
                <c:pt idx="269">
                  <c:v>1153.2108085631705</c:v>
                </c:pt>
                <c:pt idx="270">
                  <c:v>1160.5133417100819</c:v>
                </c:pt>
                <c:pt idx="271">
                  <c:v>1167.6915100085039</c:v>
                </c:pt>
                <c:pt idx="272">
                  <c:v>1174.7461779847579</c:v>
                </c:pt>
                <c:pt idx="273">
                  <c:v>1181.6781884610273</c:v>
                </c:pt>
                <c:pt idx="274">
                  <c:v>1188.4883630768104</c:v>
                </c:pt>
                <c:pt idx="275">
                  <c:v>1195.1775027920141</c:v>
                </c:pt>
                <c:pt idx="276">
                  <c:v>1201.7463883724231</c:v>
                </c:pt>
                <c:pt idx="277">
                  <c:v>1208.1957808582474</c:v>
                </c:pt>
                <c:pt idx="278">
                  <c:v>1214.5264220164181</c:v>
                </c:pt>
                <c:pt idx="279">
                  <c:v>1220.739034777273</c:v>
                </c:pt>
                <c:pt idx="280">
                  <c:v>1226.8343236562464</c:v>
                </c:pt>
                <c:pt idx="281">
                  <c:v>1232.8129751611496</c:v>
                </c:pt>
                <c:pt idx="282">
                  <c:v>1238.6756581856084</c:v>
                </c:pt>
                <c:pt idx="283">
                  <c:v>1244.4230243891961</c:v>
                </c:pt>
                <c:pt idx="284">
                  <c:v>1250.0557085647838</c:v>
                </c:pt>
                <c:pt idx="285">
                  <c:v>1255.5743289936074</c:v>
                </c:pt>
                <c:pt idx="286">
                  <c:v>1260.9794877885349</c:v>
                </c:pt>
                <c:pt idx="287">
                  <c:v>1266.2717712259966</c:v>
                </c:pt>
                <c:pt idx="288">
                  <c:v>1271.4517500670313</c:v>
                </c:pt>
                <c:pt idx="289">
                  <c:v>1276.5199798678821</c:v>
                </c:pt>
                <c:pt idx="290">
                  <c:v>1281.4770012805673</c:v>
                </c:pt>
                <c:pt idx="291">
                  <c:v>1286.3233403438369</c:v>
                </c:pt>
                <c:pt idx="292">
                  <c:v>1291.0595087649178</c:v>
                </c:pt>
                <c:pt idx="293">
                  <c:v>1295.6860041924433</c:v>
                </c:pt>
                <c:pt idx="294">
                  <c:v>1300.2033104809532</c:v>
                </c:pt>
                <c:pt idx="295">
                  <c:v>1304.6118979473474</c:v>
                </c:pt>
                <c:pt idx="296">
                  <c:v>1308.9122236196747</c:v>
                </c:pt>
                <c:pt idx="297">
                  <c:v>1313.1047314786308</c:v>
                </c:pt>
                <c:pt idx="298">
                  <c:v>1317.1898526921482</c:v>
                </c:pt>
                <c:pt idx="299">
                  <c:v>1321.1680058434563</c:v>
                </c:pt>
                <c:pt idx="300">
                  <c:v>1325.0395971529981</c:v>
                </c:pt>
                <c:pt idx="301">
                  <c:v>1328.8050206945975</c:v>
                </c:pt>
                <c:pt idx="302">
                  <c:v>1332.4646586062788</c:v>
                </c:pt>
                <c:pt idx="303">
                  <c:v>1336.0188812961553</c:v>
                </c:pt>
                <c:pt idx="304">
                  <c:v>1339.4680476438182</c:v>
                </c:pt>
                <c:pt idx="305">
                  <c:v>1342.8125051976776</c:v>
                </c:pt>
                <c:pt idx="306">
                  <c:v>1346.0525903687308</c:v>
                </c:pt>
                <c:pt idx="307">
                  <c:v>1349.1886286212577</c:v>
                </c:pt>
                <c:pt idx="308">
                  <c:v>1352.2209346609814</c:v>
                </c:pt>
                <c:pt idx="309">
                  <c:v>1355.1498126212621</c:v>
                </c:pt>
                <c:pt idx="310">
                  <c:v>1357.9755562479399</c:v>
                </c:pt>
                <c:pt idx="311">
                  <c:v>1360.6984490834884</c:v>
                </c:pt>
                <c:pt idx="312">
                  <c:v>1363.3187646511931</c:v>
                </c:pt>
                <c:pt idx="313">
                  <c:v>1365.8367666401339</c:v>
                </c:pt>
                <c:pt idx="314">
                  <c:v>1368.2527090918122</c:v>
                </c:pt>
                <c:pt idx="315">
                  <c:v>1370.5668365893418</c:v>
                </c:pt>
                <c:pt idx="316">
                  <c:v>1372.7793844501955</c:v>
                </c:pt>
                <c:pt idx="317">
                  <c:v>1374.890578923591</c:v>
                </c:pt>
                <c:pt idx="318">
                  <c:v>1376.9006373936827</c:v>
                </c:pt>
                <c:pt idx="319">
                  <c:v>1378.809768589821</c:v>
                </c:pt>
                <c:pt idx="320">
                  <c:v>1380.6181728052304</c:v>
                </c:pt>
                <c:pt idx="321">
                  <c:v>1382.3260421255441</c:v>
                </c:pt>
                <c:pt idx="322">
                  <c:v>1383.9335606687193</c:v>
                </c:pt>
                <c:pt idx="323">
                  <c:v>1385.4409048379175</c:v>
                </c:pt>
                <c:pt idx="324">
                  <c:v>1386.8482435889823</c:v>
                </c:pt>
                <c:pt idx="325">
                  <c:v>1388.1557387141709</c:v>
                </c:pt>
                <c:pt idx="326">
                  <c:v>1389.3635451437672</c:v>
                </c:pt>
                <c:pt idx="327">
                  <c:v>1390.4718112671424</c:v>
                </c:pt>
                <c:pt idx="328">
                  <c:v>1391.4806792746976</c:v>
                </c:pt>
                <c:pt idx="329">
                  <c:v>1392.390285521928</c:v>
                </c:pt>
                <c:pt idx="330">
                  <c:v>1393.2007609165682</c:v>
                </c:pt>
                <c:pt idx="331">
                  <c:v>1393.9122313294231</c:v>
                </c:pt>
                <c:pt idx="332">
                  <c:v>1394.5248180290334</c:v>
                </c:pt>
                <c:pt idx="333">
                  <c:v>1395.0386381398002</c:v>
                </c:pt>
                <c:pt idx="334">
                  <c:v>1395.4538051225873</c:v>
                </c:pt>
                <c:pt idx="335">
                  <c:v>1395.7704292761664</c:v>
                </c:pt>
                <c:pt idx="336">
                  <c:v>1395.9886182571956</c:v>
                </c:pt>
                <c:pt idx="337">
                  <c:v>1396.1084776157461</c:v>
                </c:pt>
                <c:pt idx="338">
                  <c:v>1396.1301113427789</c:v>
                </c:pt>
                <c:pt idx="339">
                  <c:v>1396.0536224254402</c:v>
                </c:pt>
                <c:pt idx="340">
                  <c:v>1395.8791134056396</c:v>
                </c:pt>
                <c:pt idx="341">
                  <c:v>1395.6066869371339</c:v>
                </c:pt>
                <c:pt idx="342">
                  <c:v>1395.236446336261</c:v>
                </c:pt>
                <c:pt idx="343">
                  <c:v>1394.7684961215878</c:v>
                </c:pt>
                <c:pt idx="344">
                  <c:v>1394.2029425380147</c:v>
                </c:pt>
                <c:pt idx="345">
                  <c:v>1393.5398940613209</c:v>
                </c:pt>
                <c:pt idx="346">
                  <c:v>1392.7794618796868</c:v>
                </c:pt>
                <c:pt idx="347">
                  <c:v>1391.9217603493701</c:v>
                </c:pt>
                <c:pt idx="348">
                  <c:v>1390.9669074223887</c:v>
                </c:pt>
                <c:pt idx="349">
                  <c:v>1389.915025044744</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117.84659823025541</c:v>
                </c:pt>
              </c:numCache>
            </c:numRef>
          </c:xVal>
          <c:yVal>
            <c:numRef>
              <c:f>Trajecto!$C$158</c:f>
              <c:numCache>
                <c:formatCode>0</c:formatCode>
                <c:ptCount val="1"/>
                <c:pt idx="0">
                  <c:v>694.38311976218256</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671.19047168162979</c:v>
                </c:pt>
              </c:numCache>
            </c:numRef>
          </c:xVal>
          <c:yVal>
            <c:numRef>
              <c:f>Trajecto!$C$159</c:f>
              <c:numCache>
                <c:formatCode>0</c:formatCode>
                <c:ptCount val="1"/>
                <c:pt idx="0">
                  <c:v>698.05423880787305</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{B4F529D2-3D2C-41D2-A30A-521DD4C897FC}</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441.5129369838113</c:v>
                </c:pt>
                <c:pt idx="1">
                  <c:v>464.5129369838113</c:v>
                </c:pt>
                <c:pt idx="2">
                  <c:v>464.5129369838113</c:v>
                </c:pt>
                <c:pt idx="3">
                  <c:v>441.5129369838113</c:v>
                </c:pt>
                <c:pt idx="4">
                  <c:v>464.5129369838113</c:v>
                </c:pt>
                <c:pt idx="5">
                  <c:v>464.5129369838113</c:v>
                </c:pt>
                <c:pt idx="6">
                  <c:v>449.5129369838113</c:v>
                </c:pt>
                <c:pt idx="7">
                  <c:v>449.5129369838113</c:v>
                </c:pt>
                <c:pt idx="8">
                  <c:v>464.5129369838113</c:v>
                </c:pt>
                <c:pt idx="9">
                  <c:v>449.5129369838113</c:v>
                </c:pt>
                <c:pt idx="10">
                  <c:v>449.11293698381132</c:v>
                </c:pt>
                <c:pt idx="11">
                  <c:v>448.31293698381131</c:v>
                </c:pt>
                <c:pt idx="12">
                  <c:v>447.5129369838113</c:v>
                </c:pt>
                <c:pt idx="13">
                  <c:v>446.5129369838113</c:v>
                </c:pt>
                <c:pt idx="14">
                  <c:v>445.31293698381131</c:v>
                </c:pt>
                <c:pt idx="15">
                  <c:v>441.5129369838113</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441.5129369838113</c:v>
                </c:pt>
                <c:pt idx="1">
                  <c:v>418.5129369838113</c:v>
                </c:pt>
                <c:pt idx="2">
                  <c:v>418.5129369838113</c:v>
                </c:pt>
                <c:pt idx="3">
                  <c:v>441.5129369838113</c:v>
                </c:pt>
                <c:pt idx="4">
                  <c:v>418.5129369838113</c:v>
                </c:pt>
                <c:pt idx="5">
                  <c:v>418.5129369838113</c:v>
                </c:pt>
                <c:pt idx="6">
                  <c:v>433.5129369838113</c:v>
                </c:pt>
                <c:pt idx="7">
                  <c:v>433.5129369838113</c:v>
                </c:pt>
                <c:pt idx="8">
                  <c:v>418.5129369838113</c:v>
                </c:pt>
                <c:pt idx="9">
                  <c:v>433.5129369838113</c:v>
                </c:pt>
                <c:pt idx="10">
                  <c:v>433.91293698381128</c:v>
                </c:pt>
                <c:pt idx="11">
                  <c:v>434.71293698381129</c:v>
                </c:pt>
                <c:pt idx="12">
                  <c:v>435.5129369838113</c:v>
                </c:pt>
                <c:pt idx="13">
                  <c:v>436.5129369838113</c:v>
                </c:pt>
                <c:pt idx="14">
                  <c:v>437.71293698381129</c:v>
                </c:pt>
                <c:pt idx="15">
                  <c:v>441.5129369838113</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{5924EF86-844B-4EF9-8A15-1D49403E73E9}</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441.5129369838113</c:v>
                </c:pt>
                <c:pt idx="1">
                  <c:v>441.5129369838113</c:v>
                </c:pt>
                <c:pt idx="2">
                  <c:v>451.5129369838113</c:v>
                </c:pt>
                <c:pt idx="3">
                  <c:v>441.5129369838113</c:v>
                </c:pt>
                <c:pt idx="4">
                  <c:v>451.5129369838113</c:v>
                </c:pt>
                <c:pt idx="5">
                  <c:v>454.5129369838113</c:v>
                </c:pt>
                <c:pt idx="6">
                  <c:v>458.5129369838113</c:v>
                </c:pt>
                <c:pt idx="7">
                  <c:v>461.5129369838113</c:v>
                </c:pt>
                <c:pt idx="8">
                  <c:v>466.5129369838113</c:v>
                </c:pt>
                <c:pt idx="9">
                  <c:v>471.5129369838113</c:v>
                </c:pt>
                <c:pt idx="10">
                  <c:v>477.5129369838113</c:v>
                </c:pt>
                <c:pt idx="11">
                  <c:v>489.5129369838113</c:v>
                </c:pt>
                <c:pt idx="12">
                  <c:v>503.5129369838113</c:v>
                </c:pt>
                <c:pt idx="13">
                  <c:v>478.5129369838113</c:v>
                </c:pt>
                <c:pt idx="14">
                  <c:v>471.5129369838113</c:v>
                </c:pt>
                <c:pt idx="15">
                  <c:v>456.5129369838113</c:v>
                </c:pt>
                <c:pt idx="16">
                  <c:v>441.5129369838113</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441.5129369838113</c:v>
                </c:pt>
                <c:pt idx="1">
                  <c:v>441.5129369838113</c:v>
                </c:pt>
                <c:pt idx="2">
                  <c:v>431.5129369838113</c:v>
                </c:pt>
                <c:pt idx="3">
                  <c:v>441.5129369838113</c:v>
                </c:pt>
                <c:pt idx="4">
                  <c:v>431.5129369838113</c:v>
                </c:pt>
                <c:pt idx="5">
                  <c:v>428.5129369838113</c:v>
                </c:pt>
                <c:pt idx="6">
                  <c:v>424.5129369838113</c:v>
                </c:pt>
                <c:pt idx="7">
                  <c:v>421.5129369838113</c:v>
                </c:pt>
                <c:pt idx="8">
                  <c:v>416.5129369838113</c:v>
                </c:pt>
                <c:pt idx="9">
                  <c:v>411.5129369838113</c:v>
                </c:pt>
                <c:pt idx="10">
                  <c:v>405.5129369838113</c:v>
                </c:pt>
                <c:pt idx="11">
                  <c:v>393.5129369838113</c:v>
                </c:pt>
                <c:pt idx="12">
                  <c:v>379.5129369838113</c:v>
                </c:pt>
                <c:pt idx="13">
                  <c:v>404.5129369838113</c:v>
                </c:pt>
                <c:pt idx="14">
                  <c:v>411.5129369838113</c:v>
                </c:pt>
                <c:pt idx="15">
                  <c:v>426.5129369838113</c:v>
                </c:pt>
                <c:pt idx="16">
                  <c:v>441.5129369838113</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441.5129369838113</c:v>
                </c:pt>
                <c:pt idx="1">
                  <c:v>458.5129369838113</c:v>
                </c:pt>
                <c:pt idx="2">
                  <c:v>452.5129369838113</c:v>
                </c:pt>
                <c:pt idx="3">
                  <c:v>441.5129369838113</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441.5129369838113</c:v>
                </c:pt>
                <c:pt idx="1">
                  <c:v>424.5129369838113</c:v>
                </c:pt>
                <c:pt idx="2">
                  <c:v>430.5129369838113</c:v>
                </c:pt>
                <c:pt idx="3">
                  <c:v>441.5129369838113</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{A3A8F4F8-DFBB-4970-AB6F-1CD5B18F3155}</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471.38639292102164</c:v>
                </c:pt>
                <c:pt idx="1">
                  <c:v>471.38639292102164</c:v>
                </c:pt>
                <c:pt idx="2">
                  <c:v>471.38639292102164</c:v>
                </c:pt>
                <c:pt idx="3">
                  <c:v>506.10554890913079</c:v>
                </c:pt>
                <c:pt idx="4">
                  <c:v>471.38639292102164</c:v>
                </c:pt>
                <c:pt idx="5">
                  <c:v>436.66723693291249</c:v>
                </c:pt>
                <c:pt idx="6">
                  <c:v>471.38639292102164</c:v>
                </c:pt>
              </c:numCache>
            </c:numRef>
          </c:xVal>
          <c:yVal>
            <c:numRef>
              <c:f>Trajecto!$C$124:$C$130</c:f>
              <c:numCache>
                <c:formatCode>0</c:formatCode>
                <c:ptCount val="7"/>
                <c:pt idx="0">
                  <c:v>1388.7662395243651</c:v>
                </c:pt>
                <c:pt idx="1">
                  <c:v>694.38311976218256</c:v>
                </c:pt>
                <c:pt idx="2">
                  <c:v>0</c:v>
                </c:pt>
                <c:pt idx="3">
                  <c:v>69.438311976218259</c:v>
                </c:pt>
                <c:pt idx="4">
                  <c:v>0</c:v>
                </c:pt>
                <c:pt idx="5">
                  <c:v>69.438311976218259</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1396.1084776157461</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3.0000000000000022</c:v>
                </c:pt>
                <c:pt idx="211">
                  <c:v>#N/A</c:v>
                </c:pt>
                <c:pt idx="212">
                  <c:v>#N/A</c:v>
                </c:pt>
                <c:pt idx="213">
                  <c:v>#N/A</c:v>
                </c:pt>
                <c:pt idx="214">
                  <c:v>#N/A</c:v>
                </c:pt>
                <c:pt idx="215">
                  <c:v>#N/A</c:v>
                </c:pt>
                <c:pt idx="216">
                  <c:v>#N/A</c:v>
                </c:pt>
                <c:pt idx="217">
                  <c:v>#N/A</c:v>
                </c:pt>
                <c:pt idx="218">
                  <c:v>#N/A</c:v>
                </c:pt>
                <c:pt idx="219">
                  <c:v>#N/A</c:v>
                </c:pt>
                <c:pt idx="220">
                  <c:v>4.0000000000000027</c:v>
                </c:pt>
                <c:pt idx="221">
                  <c:v>#N/A</c:v>
                </c:pt>
                <c:pt idx="222">
                  <c:v>#N/A</c:v>
                </c:pt>
                <c:pt idx="223">
                  <c:v>#N/A</c:v>
                </c:pt>
                <c:pt idx="224">
                  <c:v>#N/A</c:v>
                </c:pt>
                <c:pt idx="225">
                  <c:v>#N/A</c:v>
                </c:pt>
                <c:pt idx="226">
                  <c:v>#N/A</c:v>
                </c:pt>
                <c:pt idx="227">
                  <c:v>#N/A</c:v>
                </c:pt>
                <c:pt idx="228">
                  <c:v>#N/A</c:v>
                </c:pt>
                <c:pt idx="229">
                  <c:v>#N/A</c:v>
                </c:pt>
                <c:pt idx="230">
                  <c:v>4.9999999999999991</c:v>
                </c:pt>
                <c:pt idx="231">
                  <c:v>#N/A</c:v>
                </c:pt>
                <c:pt idx="232">
                  <c:v>#N/A</c:v>
                </c:pt>
                <c:pt idx="233">
                  <c:v>#N/A</c:v>
                </c:pt>
                <c:pt idx="234">
                  <c:v>#N/A</c:v>
                </c:pt>
                <c:pt idx="235">
                  <c:v>#N/A</c:v>
                </c:pt>
                <c:pt idx="236">
                  <c:v>#N/A</c:v>
                </c:pt>
                <c:pt idx="237">
                  <c:v>#N/A</c:v>
                </c:pt>
                <c:pt idx="238">
                  <c:v>#N/A</c:v>
                </c:pt>
                <c:pt idx="239">
                  <c:v>#N/A</c:v>
                </c:pt>
                <c:pt idx="240">
                  <c:v>5.9999999999999956</c:v>
                </c:pt>
                <c:pt idx="241">
                  <c:v>#N/A</c:v>
                </c:pt>
                <c:pt idx="242">
                  <c:v>#N/A</c:v>
                </c:pt>
                <c:pt idx="243">
                  <c:v>#N/A</c:v>
                </c:pt>
                <c:pt idx="244">
                  <c:v>#N/A</c:v>
                </c:pt>
                <c:pt idx="245">
                  <c:v>#N/A</c:v>
                </c:pt>
                <c:pt idx="246">
                  <c:v>#N/A</c:v>
                </c:pt>
                <c:pt idx="247">
                  <c:v>#N/A</c:v>
                </c:pt>
                <c:pt idx="248">
                  <c:v>#N/A</c:v>
                </c:pt>
                <c:pt idx="249">
                  <c:v>#N/A</c:v>
                </c:pt>
                <c:pt idx="250">
                  <c:v>6.999999999999992</c:v>
                </c:pt>
                <c:pt idx="251">
                  <c:v>#N/A</c:v>
                </c:pt>
                <c:pt idx="252">
                  <c:v>#N/A</c:v>
                </c:pt>
                <c:pt idx="253">
                  <c:v>#N/A</c:v>
                </c:pt>
                <c:pt idx="254">
                  <c:v>#N/A</c:v>
                </c:pt>
                <c:pt idx="255">
                  <c:v>#N/A</c:v>
                </c:pt>
                <c:pt idx="256">
                  <c:v>#N/A</c:v>
                </c:pt>
                <c:pt idx="257">
                  <c:v>#N/A</c:v>
                </c:pt>
                <c:pt idx="258">
                  <c:v>#N/A</c:v>
                </c:pt>
                <c:pt idx="259">
                  <c:v>#N/A</c:v>
                </c:pt>
                <c:pt idx="260">
                  <c:v>7.9999999999999885</c:v>
                </c:pt>
                <c:pt idx="261">
                  <c:v>#N/A</c:v>
                </c:pt>
                <c:pt idx="262">
                  <c:v>#N/A</c:v>
                </c:pt>
                <c:pt idx="263">
                  <c:v>#N/A</c:v>
                </c:pt>
                <c:pt idx="264">
                  <c:v>#N/A</c:v>
                </c:pt>
                <c:pt idx="265">
                  <c:v>#N/A</c:v>
                </c:pt>
                <c:pt idx="266">
                  <c:v>#N/A</c:v>
                </c:pt>
                <c:pt idx="267">
                  <c:v>#N/A</c:v>
                </c:pt>
                <c:pt idx="268">
                  <c:v>#N/A</c:v>
                </c:pt>
                <c:pt idx="269">
                  <c:v>#N/A</c:v>
                </c:pt>
                <c:pt idx="270">
                  <c:v>8.9999999999999858</c:v>
                </c:pt>
                <c:pt idx="271">
                  <c:v>#N/A</c:v>
                </c:pt>
                <c:pt idx="272">
                  <c:v>#N/A</c:v>
                </c:pt>
                <c:pt idx="273">
                  <c:v>#N/A</c:v>
                </c:pt>
                <c:pt idx="274">
                  <c:v>#N/A</c:v>
                </c:pt>
                <c:pt idx="275">
                  <c:v>#N/A</c:v>
                </c:pt>
                <c:pt idx="276">
                  <c:v>#N/A</c:v>
                </c:pt>
                <c:pt idx="277">
                  <c:v>#N/A</c:v>
                </c:pt>
                <c:pt idx="278">
                  <c:v>#N/A</c:v>
                </c:pt>
                <c:pt idx="279">
                  <c:v>#N/A</c:v>
                </c:pt>
                <c:pt idx="280">
                  <c:v>9.9999999999999822</c:v>
                </c:pt>
                <c:pt idx="281">
                  <c:v>#N/A</c:v>
                </c:pt>
                <c:pt idx="282">
                  <c:v>#N/A</c:v>
                </c:pt>
                <c:pt idx="283">
                  <c:v>#N/A</c:v>
                </c:pt>
                <c:pt idx="284">
                  <c:v>#N/A</c:v>
                </c:pt>
                <c:pt idx="285">
                  <c:v>#N/A</c:v>
                </c:pt>
                <c:pt idx="286">
                  <c:v>#N/A</c:v>
                </c:pt>
                <c:pt idx="287">
                  <c:v>#N/A</c:v>
                </c:pt>
                <c:pt idx="288">
                  <c:v>#N/A</c:v>
                </c:pt>
                <c:pt idx="289">
                  <c:v>#N/A</c:v>
                </c:pt>
                <c:pt idx="290">
                  <c:v>10.999999999999979</c:v>
                </c:pt>
                <c:pt idx="291">
                  <c:v>#N/A</c:v>
                </c:pt>
                <c:pt idx="292">
                  <c:v>#N/A</c:v>
                </c:pt>
                <c:pt idx="293">
                  <c:v>#N/A</c:v>
                </c:pt>
                <c:pt idx="294">
                  <c:v>#N/A</c:v>
                </c:pt>
                <c:pt idx="295">
                  <c:v>#N/A</c:v>
                </c:pt>
                <c:pt idx="296">
                  <c:v>#N/A</c:v>
                </c:pt>
                <c:pt idx="297">
                  <c:v>#N/A</c:v>
                </c:pt>
                <c:pt idx="298">
                  <c:v>#N/A</c:v>
                </c:pt>
                <c:pt idx="299">
                  <c:v>#N/A</c:v>
                </c:pt>
                <c:pt idx="300">
                  <c:v>11.999999999999975</c:v>
                </c:pt>
                <c:pt idx="301">
                  <c:v>#N/A</c:v>
                </c:pt>
                <c:pt idx="302">
                  <c:v>#N/A</c:v>
                </c:pt>
                <c:pt idx="303">
                  <c:v>#N/A</c:v>
                </c:pt>
                <c:pt idx="304">
                  <c:v>#N/A</c:v>
                </c:pt>
                <c:pt idx="305">
                  <c:v>#N/A</c:v>
                </c:pt>
                <c:pt idx="306">
                  <c:v>#N/A</c:v>
                </c:pt>
                <c:pt idx="307">
                  <c:v>#N/A</c:v>
                </c:pt>
                <c:pt idx="308">
                  <c:v>#N/A</c:v>
                </c:pt>
                <c:pt idx="309">
                  <c:v>#N/A</c:v>
                </c:pt>
                <c:pt idx="310">
                  <c:v>12.999999999999972</c:v>
                </c:pt>
                <c:pt idx="311">
                  <c:v>#N/A</c:v>
                </c:pt>
                <c:pt idx="312">
                  <c:v>#N/A</c:v>
                </c:pt>
                <c:pt idx="313">
                  <c:v>#N/A</c:v>
                </c:pt>
                <c:pt idx="314">
                  <c:v>#N/A</c:v>
                </c:pt>
                <c:pt idx="315">
                  <c:v>#N/A</c:v>
                </c:pt>
                <c:pt idx="316">
                  <c:v>#N/A</c:v>
                </c:pt>
                <c:pt idx="317">
                  <c:v>#N/A</c:v>
                </c:pt>
                <c:pt idx="318">
                  <c:v>#N/A</c:v>
                </c:pt>
                <c:pt idx="319">
                  <c:v>#N/A</c:v>
                </c:pt>
                <c:pt idx="320">
                  <c:v>13.999999999999968</c:v>
                </c:pt>
                <c:pt idx="321">
                  <c:v>#N/A</c:v>
                </c:pt>
                <c:pt idx="322">
                  <c:v>#N/A</c:v>
                </c:pt>
                <c:pt idx="323">
                  <c:v>#N/A</c:v>
                </c:pt>
                <c:pt idx="324">
                  <c:v>#N/A</c:v>
                </c:pt>
                <c:pt idx="325">
                  <c:v>#N/A</c:v>
                </c:pt>
                <c:pt idx="326">
                  <c:v>#N/A</c:v>
                </c:pt>
                <c:pt idx="327">
                  <c:v>#N/A</c:v>
                </c:pt>
                <c:pt idx="328">
                  <c:v>#N/A</c:v>
                </c:pt>
                <c:pt idx="329">
                  <c:v>#N/A</c:v>
                </c:pt>
                <c:pt idx="330">
                  <c:v>14.999999999999964</c:v>
                </c:pt>
                <c:pt idx="331">
                  <c:v>#N/A</c:v>
                </c:pt>
                <c:pt idx="332">
                  <c:v>#N/A</c:v>
                </c:pt>
                <c:pt idx="333">
                  <c:v>#N/A</c:v>
                </c:pt>
                <c:pt idx="334">
                  <c:v>#N/A</c:v>
                </c:pt>
                <c:pt idx="335">
                  <c:v>#N/A</c:v>
                </c:pt>
                <c:pt idx="336">
                  <c:v>#N/A</c:v>
                </c:pt>
                <c:pt idx="337">
                  <c:v>#N/A</c:v>
                </c:pt>
                <c:pt idx="338">
                  <c:v>#N/A</c:v>
                </c:pt>
                <c:pt idx="339">
                  <c:v>#N/A</c:v>
                </c:pt>
                <c:pt idx="340">
                  <c:v>15.999999999999961</c:v>
                </c:pt>
                <c:pt idx="341">
                  <c:v>#N/A</c:v>
                </c:pt>
                <c:pt idx="342">
                  <c:v>#N/A</c:v>
                </c:pt>
                <c:pt idx="343">
                  <c:v>#N/A</c:v>
                </c:pt>
                <c:pt idx="344">
                  <c:v>#N/A</c:v>
                </c:pt>
                <c:pt idx="345">
                  <c:v>#N/A</c:v>
                </c:pt>
                <c:pt idx="346">
                  <c:v>#N/A</c:v>
                </c:pt>
                <c:pt idx="347">
                  <c:v>#N/A</c:v>
                </c:pt>
                <c:pt idx="348">
                  <c:v>#N/A</c:v>
                </c:pt>
                <c:pt idx="349">
                  <c:v>#N/A</c:v>
                </c:pt>
                <c:pt idx="350">
                  <c:v>16.999999999999975</c:v>
                </c:pt>
                <c:pt idx="351">
                  <c:v>#N/A</c:v>
                </c:pt>
                <c:pt idx="352">
                  <c:v>#N/A</c:v>
                </c:pt>
                <c:pt idx="353">
                  <c:v>#N/A</c:v>
                </c:pt>
                <c:pt idx="354">
                  <c:v>#N/A</c:v>
                </c:pt>
                <c:pt idx="355">
                  <c:v>#N/A</c:v>
                </c:pt>
                <c:pt idx="356">
                  <c:v>#N/A</c:v>
                </c:pt>
                <c:pt idx="357">
                  <c:v>#N/A</c:v>
                </c:pt>
                <c:pt idx="358">
                  <c:v>#N/A</c:v>
                </c:pt>
                <c:pt idx="359">
                  <c:v>#N/A</c:v>
                </c:pt>
                <c:pt idx="360">
                  <c:v>17.999999999999989</c:v>
                </c:pt>
                <c:pt idx="361">
                  <c:v>#N/A</c:v>
                </c:pt>
                <c:pt idx="362">
                  <c:v>#N/A</c:v>
                </c:pt>
                <c:pt idx="363">
                  <c:v>#N/A</c:v>
                </c:pt>
                <c:pt idx="364">
                  <c:v>#N/A</c:v>
                </c:pt>
                <c:pt idx="365">
                  <c:v>#N/A</c:v>
                </c:pt>
                <c:pt idx="366">
                  <c:v>#N/A</c:v>
                </c:pt>
                <c:pt idx="367">
                  <c:v>#N/A</c:v>
                </c:pt>
                <c:pt idx="368">
                  <c:v>#N/A</c:v>
                </c:pt>
                <c:pt idx="369">
                  <c:v>#N/A</c:v>
                </c:pt>
                <c:pt idx="370">
                  <c:v>19.000000000000004</c:v>
                </c:pt>
                <c:pt idx="371">
                  <c:v>#N/A</c:v>
                </c:pt>
                <c:pt idx="372">
                  <c:v>#N/A</c:v>
                </c:pt>
                <c:pt idx="373">
                  <c:v>#N/A</c:v>
                </c:pt>
                <c:pt idx="374">
                  <c:v>#N/A</c:v>
                </c:pt>
                <c:pt idx="375">
                  <c:v>#N/A</c:v>
                </c:pt>
                <c:pt idx="376">
                  <c:v>#N/A</c:v>
                </c:pt>
                <c:pt idx="377">
                  <c:v>#N/A</c:v>
                </c:pt>
                <c:pt idx="378">
                  <c:v>#N/A</c:v>
                </c:pt>
                <c:pt idx="379">
                  <c:v>#N/A</c:v>
                </c:pt>
                <c:pt idx="380">
                  <c:v>20.000000000000018</c:v>
                </c:pt>
                <c:pt idx="381">
                  <c:v>#N/A</c:v>
                </c:pt>
                <c:pt idx="382">
                  <c:v>#N/A</c:v>
                </c:pt>
                <c:pt idx="383">
                  <c:v>#N/A</c:v>
                </c:pt>
                <c:pt idx="384">
                  <c:v>#N/A</c:v>
                </c:pt>
                <c:pt idx="385">
                  <c:v>#N/A</c:v>
                </c:pt>
                <c:pt idx="386">
                  <c:v>#N/A</c:v>
                </c:pt>
                <c:pt idx="387">
                  <c:v>#N/A</c:v>
                </c:pt>
                <c:pt idx="388">
                  <c:v>#N/A</c:v>
                </c:pt>
                <c:pt idx="389">
                  <c:v>#N/A</c:v>
                </c:pt>
                <c:pt idx="390">
                  <c:v>21.000000000000032</c:v>
                </c:pt>
                <c:pt idx="391">
                  <c:v>#N/A</c:v>
                </c:pt>
                <c:pt idx="392">
                  <c:v>#N/A</c:v>
                </c:pt>
                <c:pt idx="393">
                  <c:v>#N/A</c:v>
                </c:pt>
                <c:pt idx="394">
                  <c:v>#N/A</c:v>
                </c:pt>
                <c:pt idx="395">
                  <c:v>#N/A</c:v>
                </c:pt>
                <c:pt idx="396">
                  <c:v>#N/A</c:v>
                </c:pt>
                <c:pt idx="397">
                  <c:v>#N/A</c:v>
                </c:pt>
                <c:pt idx="398">
                  <c:v>#N/A</c:v>
                </c:pt>
                <c:pt idx="399">
                  <c:v>#N/A</c:v>
                </c:pt>
                <c:pt idx="400">
                  <c:v>22.000000000000046</c:v>
                </c:pt>
                <c:pt idx="401">
                  <c:v>#N/A</c:v>
                </c:pt>
                <c:pt idx="402">
                  <c:v>#N/A</c:v>
                </c:pt>
                <c:pt idx="403">
                  <c:v>#N/A</c:v>
                </c:pt>
                <c:pt idx="404">
                  <c:v>#N/A</c:v>
                </c:pt>
                <c:pt idx="405">
                  <c:v>#N/A</c:v>
                </c:pt>
                <c:pt idx="406">
                  <c:v>#N/A</c:v>
                </c:pt>
                <c:pt idx="407">
                  <c:v>#N/A</c:v>
                </c:pt>
                <c:pt idx="408">
                  <c:v>#N/A</c:v>
                </c:pt>
                <c:pt idx="409">
                  <c:v>#N/A</c:v>
                </c:pt>
                <c:pt idx="410">
                  <c:v>23.00000000000006</c:v>
                </c:pt>
                <c:pt idx="411">
                  <c:v>#N/A</c:v>
                </c:pt>
                <c:pt idx="412">
                  <c:v>#N/A</c:v>
                </c:pt>
                <c:pt idx="413">
                  <c:v>#N/A</c:v>
                </c:pt>
                <c:pt idx="414">
                  <c:v>#N/A</c:v>
                </c:pt>
                <c:pt idx="415">
                  <c:v>#N/A</c:v>
                </c:pt>
                <c:pt idx="416">
                  <c:v>#N/A</c:v>
                </c:pt>
                <c:pt idx="417">
                  <c:v>#N/A</c:v>
                </c:pt>
                <c:pt idx="418">
                  <c:v>#N/A</c:v>
                </c:pt>
                <c:pt idx="419">
                  <c:v>#N/A</c:v>
                </c:pt>
                <c:pt idx="420">
                  <c:v>24.000000000000075</c:v>
                </c:pt>
                <c:pt idx="421">
                  <c:v>#N/A</c:v>
                </c:pt>
                <c:pt idx="422">
                  <c:v>#N/A</c:v>
                </c:pt>
                <c:pt idx="423">
                  <c:v>#N/A</c:v>
                </c:pt>
                <c:pt idx="424">
                  <c:v>#N/A</c:v>
                </c:pt>
                <c:pt idx="425">
                  <c:v>#N/A</c:v>
                </c:pt>
                <c:pt idx="426">
                  <c:v>#N/A</c:v>
                </c:pt>
                <c:pt idx="427">
                  <c:v>#N/A</c:v>
                </c:pt>
                <c:pt idx="428">
                  <c:v>#N/A</c:v>
                </c:pt>
                <c:pt idx="429">
                  <c:v>#N/A</c:v>
                </c:pt>
                <c:pt idx="430">
                  <c:v>25.000000000000089</c:v>
                </c:pt>
                <c:pt idx="431">
                  <c:v>#N/A</c:v>
                </c:pt>
                <c:pt idx="432">
                  <c:v>#N/A</c:v>
                </c:pt>
                <c:pt idx="433">
                  <c:v>#N/A</c:v>
                </c:pt>
                <c:pt idx="434">
                  <c:v>#N/A</c:v>
                </c:pt>
                <c:pt idx="435">
                  <c:v>#N/A</c:v>
                </c:pt>
                <c:pt idx="436">
                  <c:v>#N/A</c:v>
                </c:pt>
                <c:pt idx="437">
                  <c:v>#N/A</c:v>
                </c:pt>
                <c:pt idx="438">
                  <c:v>#N/A</c:v>
                </c:pt>
                <c:pt idx="439">
                  <c:v>#N/A</c:v>
                </c:pt>
                <c:pt idx="440">
                  <c:v>26.000000000000103</c:v>
                </c:pt>
                <c:pt idx="441">
                  <c:v>#N/A</c:v>
                </c:pt>
                <c:pt idx="442">
                  <c:v>#N/A</c:v>
                </c:pt>
                <c:pt idx="443">
                  <c:v>#N/A</c:v>
                </c:pt>
                <c:pt idx="444">
                  <c:v>#N/A</c:v>
                </c:pt>
                <c:pt idx="445">
                  <c:v>#N/A</c:v>
                </c:pt>
                <c:pt idx="446">
                  <c:v>#N/A</c:v>
                </c:pt>
                <c:pt idx="447">
                  <c:v>#N/A</c:v>
                </c:pt>
                <c:pt idx="448">
                  <c:v>#N/A</c:v>
                </c:pt>
                <c:pt idx="449">
                  <c:v>#N/A</c:v>
                </c:pt>
                <c:pt idx="450">
                  <c:v>27.000000000000117</c:v>
                </c:pt>
                <c:pt idx="451">
                  <c:v>#N/A</c:v>
                </c:pt>
                <c:pt idx="452">
                  <c:v>#N/A</c:v>
                </c:pt>
                <c:pt idx="453">
                  <c:v>#N/A</c:v>
                </c:pt>
                <c:pt idx="454">
                  <c:v>#N/A</c:v>
                </c:pt>
                <c:pt idx="455">
                  <c:v>#N/A</c:v>
                </c:pt>
                <c:pt idx="456">
                  <c:v>#N/A</c:v>
                </c:pt>
                <c:pt idx="457">
                  <c:v>#N/A</c:v>
                </c:pt>
                <c:pt idx="458">
                  <c:v>#N/A</c:v>
                </c:pt>
                <c:pt idx="459">
                  <c:v>#N/A</c:v>
                </c:pt>
                <c:pt idx="460">
                  <c:v>28.000000000000131</c:v>
                </c:pt>
                <c:pt idx="461">
                  <c:v>#N/A</c:v>
                </c:pt>
                <c:pt idx="462">
                  <c:v>#N/A</c:v>
                </c:pt>
                <c:pt idx="463">
                  <c:v>#N/A</c:v>
                </c:pt>
                <c:pt idx="464">
                  <c:v>#N/A</c:v>
                </c:pt>
                <c:pt idx="465">
                  <c:v>#N/A</c:v>
                </c:pt>
                <c:pt idx="466">
                  <c:v>#N/A</c:v>
                </c:pt>
                <c:pt idx="467">
                  <c:v>#N/A</c:v>
                </c:pt>
                <c:pt idx="468">
                  <c:v>#N/A</c:v>
                </c:pt>
                <c:pt idx="469">
                  <c:v>#N/A</c:v>
                </c:pt>
                <c:pt idx="470">
                  <c:v>29.000000000000146</c:v>
                </c:pt>
                <c:pt idx="471">
                  <c:v>#N/A</c:v>
                </c:pt>
                <c:pt idx="472">
                  <c:v>#N/A</c:v>
                </c:pt>
                <c:pt idx="473">
                  <c:v>#N/A</c:v>
                </c:pt>
                <c:pt idx="474">
                  <c:v>#N/A</c:v>
                </c:pt>
                <c:pt idx="475">
                  <c:v>#N/A</c:v>
                </c:pt>
                <c:pt idx="476">
                  <c:v>#N/A</c:v>
                </c:pt>
                <c:pt idx="477">
                  <c:v>#N/A</c:v>
                </c:pt>
                <c:pt idx="478">
                  <c:v>#N/A</c:v>
                </c:pt>
                <c:pt idx="479">
                  <c:v>#N/A</c:v>
                </c:pt>
                <c:pt idx="480">
                  <c:v>30.00000000000016</c:v>
                </c:pt>
                <c:pt idx="481">
                  <c:v>#N/A</c:v>
                </c:pt>
                <c:pt idx="482">
                  <c:v>#N/A</c:v>
                </c:pt>
                <c:pt idx="483">
                  <c:v>#N/A</c:v>
                </c:pt>
                <c:pt idx="484">
                  <c:v>#N/A</c:v>
                </c:pt>
                <c:pt idx="485">
                  <c:v>#N/A</c:v>
                </c:pt>
                <c:pt idx="486">
                  <c:v>#N/A</c:v>
                </c:pt>
                <c:pt idx="487">
                  <c:v>#N/A</c:v>
                </c:pt>
                <c:pt idx="488">
                  <c:v>#N/A</c:v>
                </c:pt>
                <c:pt idx="489">
                  <c:v>#N/A</c:v>
                </c:pt>
                <c:pt idx="490">
                  <c:v>31.000000000000174</c:v>
                </c:pt>
                <c:pt idx="491">
                  <c:v>#N/A</c:v>
                </c:pt>
                <c:pt idx="492">
                  <c:v>#N/A</c:v>
                </c:pt>
                <c:pt idx="493">
                  <c:v>#N/A</c:v>
                </c:pt>
                <c:pt idx="494">
                  <c:v>#N/A</c:v>
                </c:pt>
                <c:pt idx="495">
                  <c:v>#N/A</c:v>
                </c:pt>
                <c:pt idx="496">
                  <c:v>#N/A</c:v>
                </c:pt>
                <c:pt idx="497">
                  <c:v>#N/A</c:v>
                </c:pt>
                <c:pt idx="498">
                  <c:v>#N/A</c:v>
                </c:pt>
                <c:pt idx="499">
                  <c:v>#N/A</c:v>
                </c:pt>
                <c:pt idx="500">
                  <c:v>32.000000000000185</c:v>
                </c:pt>
                <c:pt idx="501">
                  <c:v>#N/A</c:v>
                </c:pt>
                <c:pt idx="502">
                  <c:v>#N/A</c:v>
                </c:pt>
                <c:pt idx="503">
                  <c:v>#N/A</c:v>
                </c:pt>
                <c:pt idx="504">
                  <c:v>#N/A</c:v>
                </c:pt>
                <c:pt idx="505">
                  <c:v>#N/A</c:v>
                </c:pt>
                <c:pt idx="506">
                  <c:v>#N/A</c:v>
                </c:pt>
                <c:pt idx="507">
                  <c:v>#N/A</c:v>
                </c:pt>
                <c:pt idx="508">
                  <c:v>#N/A</c:v>
                </c:pt>
                <c:pt idx="509">
                  <c:v>#N/A</c:v>
                </c:pt>
                <c:pt idx="510">
                  <c:v>33.000000000000199</c:v>
                </c:pt>
                <c:pt idx="511">
                  <c:v>#N/A</c:v>
                </c:pt>
                <c:pt idx="512">
                  <c:v>#N/A</c:v>
                </c:pt>
                <c:pt idx="513">
                  <c:v>#N/A</c:v>
                </c:pt>
                <c:pt idx="514">
                  <c:v>#N/A</c:v>
                </c:pt>
                <c:pt idx="515">
                  <c:v>#N/A</c:v>
                </c:pt>
                <c:pt idx="516">
                  <c:v>#N/A</c:v>
                </c:pt>
                <c:pt idx="517">
                  <c:v>#N/A</c:v>
                </c:pt>
                <c:pt idx="518">
                  <c:v>#N/A</c:v>
                </c:pt>
                <c:pt idx="519">
                  <c:v>#N/A</c:v>
                </c:pt>
                <c:pt idx="520">
                  <c:v>34.000000000000213</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9.5669889931573524E-4</c:v>
                </c:pt>
                <c:pt idx="2">
                  <c:v>7.8147455232856784E-3</c:v>
                </c:pt>
                <c:pt idx="3">
                  <c:v>2.6992684424835094E-2</c:v>
                </c:pt>
                <c:pt idx="4">
                  <c:v>6.0667505481540311E-2</c:v>
                </c:pt>
                <c:pt idx="5">
                  <c:v>0.10833133201655158</c:v>
                </c:pt>
                <c:pt idx="6">
                  <c:v>0.16963037567637684</c:v>
                </c:pt>
                <c:pt idx="7">
                  <c:v>0.24452081130294206</c:v>
                </c:pt>
                <c:pt idx="8">
                  <c:v>0.33311404982606618</c:v>
                </c:pt>
                <c:pt idx="9">
                  <c:v>0.43552155773738688</c:v>
                </c:pt>
                <c:pt idx="10">
                  <c:v>0.55185485461711581</c:v>
                </c:pt>
                <c:pt idx="11">
                  <c:v>0.68220937776239388</c:v>
                </c:pt>
                <c:pt idx="12">
                  <c:v>0.82664829999510614</c:v>
                </c:pt>
                <c:pt idx="13">
                  <c:v>0.98521859103618514</c:v>
                </c:pt>
                <c:pt idx="14">
                  <c:v>1.1579671260518243</c:v>
                </c:pt>
                <c:pt idx="15">
                  <c:v>1.3449406838593987</c:v>
                </c:pt>
                <c:pt idx="16">
                  <c:v>1.5461859451278346</c:v>
                </c:pt>
                <c:pt idx="17">
                  <c:v>1.7617494905725721</c:v>
                </c:pt>
                <c:pt idx="18">
                  <c:v>1.9916777991452683</c:v>
                </c:pt>
                <c:pt idx="19">
                  <c:v>2.2360172462183869</c:v>
                </c:pt>
                <c:pt idx="20">
                  <c:v>2.4948141017648275</c:v>
                </c:pt>
                <c:pt idx="21">
                  <c:v>2.7681080494960266</c:v>
                </c:pt>
                <c:pt idx="22">
                  <c:v>3.0559256875977927</c:v>
                </c:pt>
                <c:pt idx="23">
                  <c:v>3.3582869794392054</c:v>
                </c:pt>
                <c:pt idx="24">
                  <c:v>3.6752117230480756</c:v>
                </c:pt>
                <c:pt idx="25">
                  <c:v>4.006719550019838</c:v>
                </c:pt>
                <c:pt idx="26">
                  <c:v>4.3528151225208758</c:v>
                </c:pt>
                <c:pt idx="27">
                  <c:v>4.7135022929252681</c:v>
                </c:pt>
                <c:pt idx="28">
                  <c:v>5.0887989139176417</c:v>
                </c:pt>
                <c:pt idx="29">
                  <c:v>5.4787226962524684</c:v>
                </c:pt>
                <c:pt idx="30">
                  <c:v>5.8832912166398641</c:v>
                </c:pt>
                <c:pt idx="31">
                  <c:v>6.3025219141642737</c:v>
                </c:pt>
                <c:pt idx="32">
                  <c:v>6.7364320869631626</c:v>
                </c:pt>
                <c:pt idx="33">
                  <c:v>7.1850388891331489</c:v>
                </c:pt>
                <c:pt idx="34">
                  <c:v>7.6483593278361628</c:v>
                </c:pt>
                <c:pt idx="35">
                  <c:v>8.1264102605823965</c:v>
                </c:pt>
                <c:pt idx="36">
                  <c:v>8.6192083926702825</c:v>
                </c:pt>
                <c:pt idx="37">
                  <c:v>9.1267702747665815</c:v>
                </c:pt>
                <c:pt idx="38">
                  <c:v>9.6491123006120247</c:v>
                </c:pt>
                <c:pt idx="39">
                  <c:v>10.186250704839962</c:v>
                </c:pt>
                <c:pt idx="40">
                  <c:v>10.738201560897135</c:v>
                </c:pt>
                <c:pt idx="41">
                  <c:v>11.30497573154603</c:v>
                </c:pt>
                <c:pt idx="42">
                  <c:v>11.886573806987526</c:v>
                </c:pt>
                <c:pt idx="43">
                  <c:v>12.48299113334086</c:v>
                </c:pt>
                <c:pt idx="44">
                  <c:v>13.094222854003295</c:v>
                </c:pt>
                <c:pt idx="45">
                  <c:v>13.720263908657003</c:v>
                </c:pt>
                <c:pt idx="46">
                  <c:v>14.361109032348294</c:v>
                </c:pt>
                <c:pt idx="47">
                  <c:v>15.016752754634005</c:v>
                </c:pt>
                <c:pt idx="48">
                  <c:v>15.687189398790466</c:v>
                </c:pt>
                <c:pt idx="49">
                  <c:v>16.372413081080914</c:v>
                </c:pt>
                <c:pt idx="50">
                  <c:v>17.072417710077747</c:v>
                </c:pt>
                <c:pt idx="51">
                  <c:v>17.787196986036282</c:v>
                </c:pt>
                <c:pt idx="52">
                  <c:v>18.516744400317094</c:v>
                </c:pt>
                <c:pt idx="53">
                  <c:v>19.261053234854291</c:v>
                </c:pt>
                <c:pt idx="54">
                  <c:v>20.020116561667326</c:v>
                </c:pt>
                <c:pt idx="55">
                  <c:v>20.793927242414163</c:v>
                </c:pt>
                <c:pt idx="56">
                  <c:v>21.58247792798387</c:v>
                </c:pt>
                <c:pt idx="57">
                  <c:v>22.385761058126832</c:v>
                </c:pt>
                <c:pt idx="58">
                  <c:v>23.203768861120967</c:v>
                </c:pt>
                <c:pt idx="59">
                  <c:v>24.036493353472483</c:v>
                </c:pt>
                <c:pt idx="60">
                  <c:v>24.883926339649811</c:v>
                </c:pt>
                <c:pt idx="61">
                  <c:v>25.746059411849487</c:v>
                </c:pt>
                <c:pt idx="62">
                  <c:v>26.62288394979284</c:v>
                </c:pt>
                <c:pt idx="63">
                  <c:v>27.514391120552467</c:v>
                </c:pt>
                <c:pt idx="64">
                  <c:v>28.420571878407515</c:v>
                </c:pt>
                <c:pt idx="65">
                  <c:v>29.341416964726893</c:v>
                </c:pt>
                <c:pt idx="66">
                  <c:v>30.276916907879627</c:v>
                </c:pt>
                <c:pt idx="67">
                  <c:v>31.227062023171555</c:v>
                </c:pt>
                <c:pt idx="68">
                  <c:v>32.191842412807688</c:v>
                </c:pt>
                <c:pt idx="69">
                  <c:v>33.171247965879623</c:v>
                </c:pt>
                <c:pt idx="70">
                  <c:v>34.165268358377332</c:v>
                </c:pt>
                <c:pt idx="71">
                  <c:v>35.173893053224816</c:v>
                </c:pt>
                <c:pt idx="72">
                  <c:v>36.197111300339095</c:v>
                </c:pt>
                <c:pt idx="73">
                  <c:v>37.234912136712033</c:v>
                </c:pt>
                <c:pt idx="74">
                  <c:v>38.287284386514528</c:v>
                </c:pt>
                <c:pt idx="75">
                  <c:v>39.354216661222665</c:v>
                </c:pt>
                <c:pt idx="76">
                  <c:v>40.435697359765399</c:v>
                </c:pt>
                <c:pt idx="77">
                  <c:v>41.53171466869339</c:v>
                </c:pt>
                <c:pt idx="78">
                  <c:v>42.642256562368658</c:v>
                </c:pt>
                <c:pt idx="79">
                  <c:v>43.767310803174666</c:v>
                </c:pt>
                <c:pt idx="80">
                  <c:v>44.906864941746555</c:v>
                </c:pt>
                <c:pt idx="81">
                  <c:v>46.060901173973988</c:v>
                </c:pt>
                <c:pt idx="82">
                  <c:v>47.229391188020493</c:v>
                </c:pt>
                <c:pt idx="83">
                  <c:v>48.41230129613966</c:v>
                </c:pt>
                <c:pt idx="84">
                  <c:v>49.609597576989934</c:v>
                </c:pt>
                <c:pt idx="85">
                  <c:v>50.821245876915398</c:v>
                </c:pt>
                <c:pt idx="86">
                  <c:v>52.047211811247202</c:v>
                </c:pt>
                <c:pt idx="87">
                  <c:v>53.287460765625205</c:v>
                </c:pt>
                <c:pt idx="88">
                  <c:v>54.541957897339366</c:v>
                </c:pt>
                <c:pt idx="89">
                  <c:v>55.810668136690488</c:v>
                </c:pt>
                <c:pt idx="90">
                  <c:v>57.093556188369924</c:v>
                </c:pt>
                <c:pt idx="91">
                  <c:v>58.390584258023168</c:v>
                </c:pt>
                <c:pt idx="92">
                  <c:v>59.701709774842016</c:v>
                </c:pt>
                <c:pt idx="93">
                  <c:v>61.026887663502151</c:v>
                </c:pt>
                <c:pt idx="94">
                  <c:v>62.366072620338954</c:v>
                </c:pt>
                <c:pt idx="95">
                  <c:v>63.719219115278584</c:v>
                </c:pt>
                <c:pt idx="96">
                  <c:v>65.086281393785441</c:v>
                </c:pt>
                <c:pt idx="97">
                  <c:v>66.467213478825656</c:v>
                </c:pt>
                <c:pt idx="98">
                  <c:v>67.861969172846131</c:v>
                </c:pt>
                <c:pt idx="99">
                  <c:v>69.27050205976866</c:v>
                </c:pt>
                <c:pt idx="100">
                  <c:v>70.692765506998754</c:v>
                </c:pt>
                <c:pt idx="101">
                  <c:v>72.128712303204182</c:v>
                </c:pt>
                <c:pt idx="102">
                  <c:v>73.578294295543742</c:v>
                </c:pt>
                <c:pt idx="103">
                  <c:v>75.041462755411374</c:v>
                </c:pt>
                <c:pt idx="104">
                  <c:v>76.518168744794778</c:v>
                </c:pt>
                <c:pt idx="105">
                  <c:v>78.00836311842717</c:v>
                </c:pt>
                <c:pt idx="106">
                  <c:v>79.511996525951048</c:v>
                </c:pt>
                <c:pt idx="107">
                  <c:v>81.029019414093682</c:v>
                </c:pt>
                <c:pt idx="108">
                  <c:v>82.559382028853761</c:v>
                </c:pt>
                <c:pt idx="109">
                  <c:v>84.10303441769895</c:v>
                </c:pt>
                <c:pt idx="110">
                  <c:v>85.659926431773883</c:v>
                </c:pt>
                <c:pt idx="111">
                  <c:v>87.23001192631898</c:v>
                </c:pt>
                <c:pt idx="112">
                  <c:v>88.813252966740635</c:v>
                </c:pt>
                <c:pt idx="113">
                  <c:v>90.409615637399767</c:v>
                </c:pt>
                <c:pt idx="114">
                  <c:v>92.01906584435514</c:v>
                </c:pt>
                <c:pt idx="115">
                  <c:v>93.64156931679392</c:v>
                </c:pt>
                <c:pt idx="116">
                  <c:v>95.277091608472546</c:v>
                </c:pt>
                <c:pt idx="117">
                  <c:v>96.925598099167672</c:v>
                </c:pt>
                <c:pt idx="118">
                  <c:v>98.587053996136902</c:v>
                </c:pt>
                <c:pt idx="119">
                  <c:v>100.26142433558914</c:v>
                </c:pt>
                <c:pt idx="120">
                  <c:v>101.94867398416433</c:v>
                </c:pt>
                <c:pt idx="121">
                  <c:v>103.64876066985023</c:v>
                </c:pt>
                <c:pt idx="122">
                  <c:v>105.3616280047659</c:v>
                </c:pt>
                <c:pt idx="123">
                  <c:v>107.08721245174156</c:v>
                </c:pt>
                <c:pt idx="124">
                  <c:v>108.8254502997507</c:v>
                </c:pt>
                <c:pt idx="125">
                  <c:v>110.57627766683351</c:v>
                </c:pt>
                <c:pt idx="126">
                  <c:v>112.33963050302273</c:v>
                </c:pt>
                <c:pt idx="127">
                  <c:v>114.11544459327139</c:v>
                </c:pt>
                <c:pt idx="128">
                  <c:v>115.90365556038202</c:v>
                </c:pt>
                <c:pt idx="129">
                  <c:v>117.70419886793688</c:v>
                </c:pt>
                <c:pt idx="130">
                  <c:v>119.51700982322879</c:v>
                </c:pt>
                <c:pt idx="131">
                  <c:v>121.34202175337278</c:v>
                </c:pt>
                <c:pt idx="132">
                  <c:v>123.17916417971402</c:v>
                </c:pt>
                <c:pt idx="133">
                  <c:v>125.0283646469301</c:v>
                </c:pt>
                <c:pt idx="134">
                  <c:v>126.88955055403305</c:v>
                </c:pt>
                <c:pt idx="135">
                  <c:v>128.76264915769033</c:v>
                </c:pt>
                <c:pt idx="136">
                  <c:v>130.64758757554105</c:v>
                </c:pt>
                <c:pt idx="137">
                  <c:v>132.5442927895073</c:v>
                </c:pt>
                <c:pt idx="138">
                  <c:v>134.45269164909971</c:v>
                </c:pt>
                <c:pt idx="139">
                  <c:v>136.37271087471717</c:v>
                </c:pt>
                <c:pt idx="140">
                  <c:v>138.30427706094005</c:v>
                </c:pt>
                <c:pt idx="141">
                  <c:v>140.24729481493463</c:v>
                </c:pt>
                <c:pt idx="142">
                  <c:v>142.20162488015424</c:v>
                </c:pt>
                <c:pt idx="143">
                  <c:v>144.16710600725878</c:v>
                </c:pt>
                <c:pt idx="144">
                  <c:v>146.14357684261009</c:v>
                </c:pt>
                <c:pt idx="145">
                  <c:v>148.13087593727192</c:v>
                </c:pt>
                <c:pt idx="146">
                  <c:v>150.12884175594004</c:v>
                </c:pt>
                <c:pt idx="147">
                  <c:v>152.13731268580099</c:v>
                </c:pt>
                <c:pt idx="148">
                  <c:v>154.15612704531819</c:v>
                </c:pt>
                <c:pt idx="149">
                  <c:v>156.18512309294394</c:v>
                </c:pt>
                <c:pt idx="150">
                  <c:v>158.22413903575611</c:v>
                </c:pt>
                <c:pt idx="151">
                  <c:v>160.27301303801812</c:v>
                </c:pt>
                <c:pt idx="152">
                  <c:v>162.33158322966094</c:v>
                </c:pt>
                <c:pt idx="153">
                  <c:v>164.39968771468605</c:v>
                </c:pt>
                <c:pt idx="154">
                  <c:v>166.47716457948809</c:v>
                </c:pt>
                <c:pt idx="155">
                  <c:v>168.56385190109609</c:v>
                </c:pt>
                <c:pt idx="156">
                  <c:v>170.65948406873861</c:v>
                </c:pt>
                <c:pt idx="157">
                  <c:v>172.76358810997405</c:v>
                </c:pt>
                <c:pt idx="158">
                  <c:v>174.87558752968414</c:v>
                </c:pt>
                <c:pt idx="159">
                  <c:v>176.99490617163832</c:v>
                </c:pt>
                <c:pt idx="160">
                  <c:v>179.1209682804064</c:v>
                </c:pt>
                <c:pt idx="161">
                  <c:v>181.25306670071873</c:v>
                </c:pt>
                <c:pt idx="162">
                  <c:v>183.39023118914014</c:v>
                </c:pt>
                <c:pt idx="163">
                  <c:v>185.53137327724281</c:v>
                </c:pt>
                <c:pt idx="164">
                  <c:v>187.67543107044997</c:v>
                </c:pt>
                <c:pt idx="165">
                  <c:v>189.82148279423609</c:v>
                </c:pt>
                <c:pt idx="166">
                  <c:v>191.96886013002424</c:v>
                </c:pt>
                <c:pt idx="167">
                  <c:v>194.11692611771124</c:v>
                </c:pt>
                <c:pt idx="168">
                  <c:v>196.26492268820803</c:v>
                </c:pt>
                <c:pt idx="169">
                  <c:v>198.41186894639603</c:v>
                </c:pt>
                <c:pt idx="170">
                  <c:v>200.5565290609434</c:v>
                </c:pt>
                <c:pt idx="171">
                  <c:v>202.69803915135117</c:v>
                </c:pt>
                <c:pt idx="172">
                  <c:v>204.83618618955552</c:v>
                </c:pt>
                <c:pt idx="173">
                  <c:v>206.97097811692322</c:v>
                </c:pt>
                <c:pt idx="174">
                  <c:v>209.10242284155143</c:v>
                </c:pt>
                <c:pt idx="175">
                  <c:v>211.23052823845293</c:v>
                </c:pt>
                <c:pt idx="176">
                  <c:v>213.35530214974031</c:v>
                </c:pt>
                <c:pt idx="177">
                  <c:v>215.47675238480855</c:v>
                </c:pt>
                <c:pt idx="178">
                  <c:v>217.5948867205166</c:v>
                </c:pt>
                <c:pt idx="179">
                  <c:v>219.70971290136751</c:v>
                </c:pt>
                <c:pt idx="180">
                  <c:v>221.82123863968746</c:v>
                </c:pt>
                <c:pt idx="181">
                  <c:v>223.92947161580332</c:v>
                </c:pt>
                <c:pt idx="182">
                  <c:v>226.03441947821921</c:v>
                </c:pt>
                <c:pt idx="183">
                  <c:v>228.13608984379167</c:v>
                </c:pt>
                <c:pt idx="184">
                  <c:v>230.23449029790373</c:v>
                </c:pt>
                <c:pt idx="185">
                  <c:v>232.32962839463764</c:v>
                </c:pt>
                <c:pt idx="186">
                  <c:v>234.42151165694651</c:v>
                </c:pt>
                <c:pt idx="187">
                  <c:v>236.51014757682478</c:v>
                </c:pt>
                <c:pt idx="188">
                  <c:v>238.59554361547742</c:v>
                </c:pt>
                <c:pt idx="189">
                  <c:v>240.67770720348804</c:v>
                </c:pt>
                <c:pt idx="190">
                  <c:v>242.75664574098573</c:v>
                </c:pt>
                <c:pt idx="191">
                  <c:v>244.83236659781096</c:v>
                </c:pt>
                <c:pt idx="192">
                  <c:v>246.90487711368016</c:v>
                </c:pt>
                <c:pt idx="193">
                  <c:v>248.97418459834918</c:v>
                </c:pt>
                <c:pt idx="194">
                  <c:v>251.04029633177583</c:v>
                </c:pt>
                <c:pt idx="195">
                  <c:v>253.10321956428098</c:v>
                </c:pt>
                <c:pt idx="196">
                  <c:v>255.16296151670886</c:v>
                </c:pt>
                <c:pt idx="197">
                  <c:v>257.21952938058615</c:v>
                </c:pt>
                <c:pt idx="198">
                  <c:v>259.27293031827998</c:v>
                </c:pt>
                <c:pt idx="199">
                  <c:v>261.32317146315472</c:v>
                </c:pt>
                <c:pt idx="200">
                  <c:v>263.37025991972808</c:v>
                </c:pt>
                <c:pt idx="201">
                  <c:v>283.66829468346327</c:v>
                </c:pt>
                <c:pt idx="202">
                  <c:v>303.65560741061989</c:v>
                </c:pt>
                <c:pt idx="203">
                  <c:v>323.33903236373135</c:v>
                </c:pt>
                <c:pt idx="204">
                  <c:v>342.72513496630921</c:v>
                </c:pt>
                <c:pt idx="205">
                  <c:v>361.82022568921786</c:v>
                </c:pt>
                <c:pt idx="206">
                  <c:v>380.63037304105472</c:v>
                </c:pt>
                <c:pt idx="207">
                  <c:v>399.16141573136991</c:v>
                </c:pt>
                <c:pt idx="208">
                  <c:v>417.41897406944025</c:v>
                </c:pt>
                <c:pt idx="209">
                  <c:v>435.40846065581081</c:v>
                </c:pt>
                <c:pt idx="210">
                  <c:v>453.1350904188613</c:v>
                </c:pt>
                <c:pt idx="211">
                  <c:v>470.6038900441842</c:v>
                </c:pt>
                <c:pt idx="212">
                  <c:v>487.81970684052635</c:v>
                </c:pt>
                <c:pt idx="213">
                  <c:v>504.78721708239391</c:v>
                </c:pt>
                <c:pt idx="214">
                  <c:v>521.51093386611592</c:v>
                </c:pt>
                <c:pt idx="215">
                  <c:v>537.99521451316571</c:v>
                </c:pt>
                <c:pt idx="216">
                  <c:v>554.24426755181798</c:v>
                </c:pt>
                <c:pt idx="217">
                  <c:v>570.26215930574847</c:v>
                </c:pt>
                <c:pt idx="218">
                  <c:v>586.05282011593454</c:v>
                </c:pt>
                <c:pt idx="219">
                  <c:v>601.62005022016444</c:v>
                </c:pt>
                <c:pt idx="220">
                  <c:v>616.96752531259722</c:v>
                </c:pt>
                <c:pt idx="221">
                  <c:v>632.09880180410789</c:v>
                </c:pt>
                <c:pt idx="222">
                  <c:v>647.01732180259648</c:v>
                </c:pt>
                <c:pt idx="223">
                  <c:v>661.72641783101085</c:v>
                </c:pt>
                <c:pt idx="224">
                  <c:v>676.22931729953143</c:v>
                </c:pt>
                <c:pt idx="225">
                  <c:v>690.52914674716646</c:v>
                </c:pt>
                <c:pt idx="226">
                  <c:v>704.62893586691018</c:v>
                </c:pt>
                <c:pt idx="227">
                  <c:v>718.53162132760872</c:v>
                </c:pt>
                <c:pt idx="228">
                  <c:v>732.24005040475038</c:v>
                </c:pt>
                <c:pt idx="229">
                  <c:v>745.75698443154556</c:v>
                </c:pt>
                <c:pt idx="230">
                  <c:v>759.08510208087625</c:v>
                </c:pt>
                <c:pt idx="231">
                  <c:v>772.22700248797207</c:v>
                </c:pt>
                <c:pt idx="232">
                  <c:v>785.18520822300138</c:v>
                </c:pt>
                <c:pt idx="233">
                  <c:v>797.96216812215118</c:v>
                </c:pt>
                <c:pt idx="234">
                  <c:v>810.56025998519976</c:v>
                </c:pt>
                <c:pt idx="235">
                  <c:v>822.98179314705976</c:v>
                </c:pt>
                <c:pt idx="236">
                  <c:v>835.22901093028247</c:v>
                </c:pt>
                <c:pt idx="237">
                  <c:v>847.30409298506368</c:v>
                </c:pt>
                <c:pt idx="238">
                  <c:v>859.20915752287192</c:v>
                </c:pt>
                <c:pt idx="239">
                  <c:v>870.94626344943447</c:v>
                </c:pt>
                <c:pt idx="240">
                  <c:v>882.51741240245531</c:v>
                </c:pt>
                <c:pt idx="241">
                  <c:v>893.92455069910454</c:v>
                </c:pt>
                <c:pt idx="242">
                  <c:v>905.169571198011</c:v>
                </c:pt>
                <c:pt idx="243">
                  <c:v>916.25431508019699</c:v>
                </c:pt>
                <c:pt idx="244">
                  <c:v>927.18057355312931</c:v>
                </c:pt>
                <c:pt idx="245">
                  <c:v>937.95008948180725</c:v>
                </c:pt>
                <c:pt idx="246">
                  <c:v>948.56455895057707</c:v>
                </c:pt>
                <c:pt idx="247">
                  <c:v>959.02563275914395</c:v>
                </c:pt>
                <c:pt idx="248">
                  <c:v>969.33491785604974</c:v>
                </c:pt>
                <c:pt idx="249">
                  <c:v>979.49397871269559</c:v>
                </c:pt>
                <c:pt idx="250">
                  <c:v>989.5043386408114</c:v>
                </c:pt>
                <c:pt idx="251">
                  <c:v>999.36748105610877</c:v>
                </c:pt>
                <c:pt idx="252">
                  <c:v>1009.0848506906991</c:v>
                </c:pt>
                <c:pt idx="253">
                  <c:v>1018.6578547567143</c:v>
                </c:pt>
                <c:pt idx="254">
                  <c:v>1028.0878640634319</c:v>
                </c:pt>
                <c:pt idx="255">
                  <c:v>1037.3762140900787</c:v>
                </c:pt>
                <c:pt idx="256">
                  <c:v>1046.5242060163703</c:v>
                </c:pt>
                <c:pt idx="257">
                  <c:v>1055.5331077127275</c:v>
                </c:pt>
                <c:pt idx="258">
                  <c:v>1064.4041546920148</c:v>
                </c:pt>
                <c:pt idx="259">
                  <c:v>1073.1385510245357</c:v>
                </c:pt>
                <c:pt idx="260">
                  <c:v>1081.7374702179393</c:v>
                </c:pt>
                <c:pt idx="261">
                  <c:v>1090.2020560635988</c:v>
                </c:pt>
                <c:pt idx="262">
                  <c:v>1098.5334234509421</c:v>
                </c:pt>
                <c:pt idx="263">
                  <c:v>1106.732659151141</c:v>
                </c:pt>
                <c:pt idx="264">
                  <c:v>1114.80082257149</c:v>
                </c:pt>
                <c:pt idx="265">
                  <c:v>1122.7389464817406</c:v>
                </c:pt>
                <c:pt idx="266">
                  <c:v>1130.5480377135914</c:v>
                </c:pt>
                <c:pt idx="267">
                  <c:v>1138.2290778344752</c:v>
                </c:pt>
                <c:pt idx="268">
                  <c:v>1145.7830237967282</c:v>
                </c:pt>
                <c:pt idx="269">
                  <c:v>1153.2108085631705</c:v>
                </c:pt>
                <c:pt idx="270">
                  <c:v>1160.5133417100819</c:v>
                </c:pt>
                <c:pt idx="271">
                  <c:v>1167.6915100085039</c:v>
                </c:pt>
                <c:pt idx="272">
                  <c:v>1174.7461779847579</c:v>
                </c:pt>
                <c:pt idx="273">
                  <c:v>1181.6781884610273</c:v>
                </c:pt>
                <c:pt idx="274">
                  <c:v>1188.4883630768104</c:v>
                </c:pt>
                <c:pt idx="275">
                  <c:v>1195.1775027920141</c:v>
                </c:pt>
                <c:pt idx="276">
                  <c:v>1201.7463883724231</c:v>
                </c:pt>
                <c:pt idx="277">
                  <c:v>1208.1957808582474</c:v>
                </c:pt>
                <c:pt idx="278">
                  <c:v>1214.5264220164181</c:v>
                </c:pt>
                <c:pt idx="279">
                  <c:v>1220.739034777273</c:v>
                </c:pt>
                <c:pt idx="280">
                  <c:v>1226.8343236562464</c:v>
                </c:pt>
                <c:pt idx="281">
                  <c:v>1232.8129751611496</c:v>
                </c:pt>
                <c:pt idx="282">
                  <c:v>1238.6756581856084</c:v>
                </c:pt>
                <c:pt idx="283">
                  <c:v>1244.4230243891961</c:v>
                </c:pt>
                <c:pt idx="284">
                  <c:v>1250.0557085647838</c:v>
                </c:pt>
                <c:pt idx="285">
                  <c:v>1255.5743289936074</c:v>
                </c:pt>
                <c:pt idx="286">
                  <c:v>1260.9794877885349</c:v>
                </c:pt>
                <c:pt idx="287">
                  <c:v>1266.2717712259966</c:v>
                </c:pt>
                <c:pt idx="288">
                  <c:v>1271.4517500670313</c:v>
                </c:pt>
                <c:pt idx="289">
                  <c:v>1276.5199798678821</c:v>
                </c:pt>
                <c:pt idx="290">
                  <c:v>1281.4770012805673</c:v>
                </c:pt>
                <c:pt idx="291">
                  <c:v>1286.3233403438369</c:v>
                </c:pt>
                <c:pt idx="292">
                  <c:v>1291.0595087649178</c:v>
                </c:pt>
                <c:pt idx="293">
                  <c:v>1295.6860041924433</c:v>
                </c:pt>
                <c:pt idx="294">
                  <c:v>1300.2033104809532</c:v>
                </c:pt>
                <c:pt idx="295">
                  <c:v>1304.6118979473474</c:v>
                </c:pt>
                <c:pt idx="296">
                  <c:v>1308.9122236196747</c:v>
                </c:pt>
                <c:pt idx="297">
                  <c:v>1313.1047314786308</c:v>
                </c:pt>
                <c:pt idx="298">
                  <c:v>1317.1898526921482</c:v>
                </c:pt>
                <c:pt idx="299">
                  <c:v>1321.1680058434563</c:v>
                </c:pt>
                <c:pt idx="300">
                  <c:v>1325.0395971529981</c:v>
                </c:pt>
                <c:pt idx="301">
                  <c:v>1328.8050206945975</c:v>
                </c:pt>
                <c:pt idx="302">
                  <c:v>1332.4646586062788</c:v>
                </c:pt>
                <c:pt idx="303">
                  <c:v>1336.0188812961553</c:v>
                </c:pt>
                <c:pt idx="304">
                  <c:v>1339.4680476438182</c:v>
                </c:pt>
                <c:pt idx="305">
                  <c:v>1342.8125051976776</c:v>
                </c:pt>
                <c:pt idx="306">
                  <c:v>1346.0525903687308</c:v>
                </c:pt>
                <c:pt idx="307">
                  <c:v>1349.1886286212577</c:v>
                </c:pt>
                <c:pt idx="308">
                  <c:v>1352.2209346609814</c:v>
                </c:pt>
                <c:pt idx="309">
                  <c:v>1355.1498126212621</c:v>
                </c:pt>
                <c:pt idx="310">
                  <c:v>1357.9755562479399</c:v>
                </c:pt>
                <c:pt idx="311">
                  <c:v>1360.6984490834884</c:v>
                </c:pt>
                <c:pt idx="312">
                  <c:v>1363.3187646511931</c:v>
                </c:pt>
                <c:pt idx="313">
                  <c:v>1365.8367666401339</c:v>
                </c:pt>
                <c:pt idx="314">
                  <c:v>1368.2527090918122</c:v>
                </c:pt>
                <c:pt idx="315">
                  <c:v>1370.5668365893418</c:v>
                </c:pt>
                <c:pt idx="316">
                  <c:v>1372.7793844501955</c:v>
                </c:pt>
                <c:pt idx="317">
                  <c:v>1374.890578923591</c:v>
                </c:pt>
                <c:pt idx="318">
                  <c:v>1376.9006373936827</c:v>
                </c:pt>
                <c:pt idx="319">
                  <c:v>1378.809768589821</c:v>
                </c:pt>
                <c:pt idx="320">
                  <c:v>1380.6181728052304</c:v>
                </c:pt>
                <c:pt idx="321">
                  <c:v>1382.3260421255441</c:v>
                </c:pt>
                <c:pt idx="322">
                  <c:v>1383.9335606687193</c:v>
                </c:pt>
                <c:pt idx="323">
                  <c:v>1385.4409048379175</c:v>
                </c:pt>
                <c:pt idx="324">
                  <c:v>1386.8482435889823</c:v>
                </c:pt>
                <c:pt idx="325">
                  <c:v>1388.1557387141709</c:v>
                </c:pt>
                <c:pt idx="326">
                  <c:v>1389.3635451437672</c:v>
                </c:pt>
                <c:pt idx="327">
                  <c:v>1390.4718112671424</c:v>
                </c:pt>
                <c:pt idx="328">
                  <c:v>1391.4806792746976</c:v>
                </c:pt>
                <c:pt idx="329">
                  <c:v>1392.390285521928</c:v>
                </c:pt>
                <c:pt idx="330">
                  <c:v>1393.2007609165682</c:v>
                </c:pt>
                <c:pt idx="331">
                  <c:v>1393.9122313294231</c:v>
                </c:pt>
                <c:pt idx="332">
                  <c:v>1394.5248180290334</c:v>
                </c:pt>
                <c:pt idx="333">
                  <c:v>1395.0386381398002</c:v>
                </c:pt>
                <c:pt idx="334">
                  <c:v>1395.4538051225873</c:v>
                </c:pt>
                <c:pt idx="335">
                  <c:v>1395.7704292761664</c:v>
                </c:pt>
                <c:pt idx="336">
                  <c:v>1395.9886182571956</c:v>
                </c:pt>
                <c:pt idx="337">
                  <c:v>1396.1084776157461</c:v>
                </c:pt>
                <c:pt idx="338">
                  <c:v>1396.1301113427789</c:v>
                </c:pt>
                <c:pt idx="339">
                  <c:v>1396.0536224254402</c:v>
                </c:pt>
                <c:pt idx="340">
                  <c:v>1395.8791134056396</c:v>
                </c:pt>
                <c:pt idx="341">
                  <c:v>1395.6066869371339</c:v>
                </c:pt>
                <c:pt idx="342">
                  <c:v>1395.236446336261</c:v>
                </c:pt>
                <c:pt idx="343">
                  <c:v>1394.7684961215878</c:v>
                </c:pt>
                <c:pt idx="344">
                  <c:v>1394.2029425380147</c:v>
                </c:pt>
                <c:pt idx="345">
                  <c:v>1393.5398940613209</c:v>
                </c:pt>
                <c:pt idx="346">
                  <c:v>1392.7794618796868</c:v>
                </c:pt>
                <c:pt idx="347">
                  <c:v>1391.9217603493701</c:v>
                </c:pt>
                <c:pt idx="348">
                  <c:v>1390.9669074223887</c:v>
                </c:pt>
                <c:pt idx="349">
                  <c:v>1389.915025044744</c:v>
                </c:pt>
                <c:pt idx="350">
                  <c:v>1388.7662395243651</c:v>
                </c:pt>
                <c:pt idx="351">
                  <c:v>1387.5206818685447</c:v>
                </c:pt>
                <c:pt idx="352">
                  <c:v>1386.1784880911496</c:v>
                </c:pt>
                <c:pt idx="353">
                  <c:v>1384.739799490321</c:v>
                </c:pt>
                <c:pt idx="354">
                  <c:v>1383.204762897713</c:v>
                </c:pt>
                <c:pt idx="355">
                  <c:v>1381.5735309005772</c:v>
                </c:pt>
                <c:pt idx="356">
                  <c:v>1379.8462620381754</c:v>
                </c:pt>
                <c:pt idx="357">
                  <c:v>1378.0231209741062</c:v>
                </c:pt>
                <c:pt idx="358">
                  <c:v>1376.1042786461874</c:v>
                </c:pt>
                <c:pt idx="359">
                  <c:v>1374.0899123955319</c:v>
                </c:pt>
                <c:pt idx="360">
                  <c:v>1371.9802060764262</c:v>
                </c:pt>
                <c:pt idx="361">
                  <c:v>1369.7753501485574</c:v>
                </c:pt>
                <c:pt idx="362">
                  <c:v>1367.4755417530591</c:v>
                </c:pt>
                <c:pt idx="363">
                  <c:v>1365.0809847737514</c:v>
                </c:pt>
                <c:pt idx="364">
                  <c:v>1362.5918898848577</c:v>
                </c:pt>
                <c:pt idx="365">
                  <c:v>1360.0084745863792</c:v>
                </c:pt>
                <c:pt idx="366">
                  <c:v>1357.330963228211</c:v>
                </c:pt>
                <c:pt idx="367">
                  <c:v>1354.559587023987</c:v>
                </c:pt>
                <c:pt idx="368">
                  <c:v>1351.6945840555527</c:v>
                </c:pt>
                <c:pt idx="369">
                  <c:v>1348.7361992688786</c:v>
                </c:pt>
                <c:pt idx="370">
                  <c:v>1345.68468446215</c:v>
                </c:pt>
                <c:pt idx="371">
                  <c:v>1342.5402982666967</c:v>
                </c:pt>
                <c:pt idx="372">
                  <c:v>1339.3033061213591</c:v>
                </c:pt>
                <c:pt idx="373">
                  <c:v>1335.973980240831</c:v>
                </c:pt>
                <c:pt idx="374">
                  <c:v>1332.5525995784622</c:v>
                </c:pt>
                <c:pt idx="375">
                  <c:v>1329.0394497839613</c:v>
                </c:pt>
                <c:pt idx="376">
                  <c:v>1325.4348231563897</c:v>
                </c:pt>
                <c:pt idx="377">
                  <c:v>1321.7390185928043</c:v>
                </c:pt>
                <c:pt idx="378">
                  <c:v>1317.9523415328724</c:v>
                </c:pt>
                <c:pt idx="379">
                  <c:v>1314.0751038997478</c:v>
                </c:pt>
                <c:pt idx="380">
                  <c:v>1310.1076240374753</c:v>
                </c:pt>
                <c:pt idx="381">
                  <c:v>1306.0502266451642</c:v>
                </c:pt>
                <c:pt idx="382">
                  <c:v>1301.9032427081509</c:v>
                </c:pt>
                <c:pt idx="383">
                  <c:v>1297.6670094263507</c:v>
                </c:pt>
                <c:pt idx="384">
                  <c:v>1293.3418701399867</c:v>
                </c:pt>
                <c:pt idx="385">
                  <c:v>1288.9281742528628</c:v>
                </c:pt>
                <c:pt idx="386">
                  <c:v>1284.4262771533404</c:v>
                </c:pt>
                <c:pt idx="387">
                  <c:v>1279.8365401331619</c:v>
                </c:pt>
                <c:pt idx="388">
                  <c:v>1275.1593303042605</c:v>
                </c:pt>
                <c:pt idx="389">
                  <c:v>1270.3950205136782</c:v>
                </c:pt>
                <c:pt idx="390">
                  <c:v>1265.543989256714</c:v>
                </c:pt>
                <c:pt idx="391">
                  <c:v>1260.6066205884108</c:v>
                </c:pt>
                <c:pt idx="392">
                  <c:v>1255.5833040334887</c:v>
                </c:pt>
                <c:pt idx="393">
                  <c:v>1250.4744344948208</c:v>
                </c:pt>
                <c:pt idx="394">
                  <c:v>1245.280412160547</c:v>
                </c:pt>
                <c:pt idx="395">
                  <c:v>1240.0016424099165</c:v>
                </c:pt>
                <c:pt idx="396">
                  <c:v>1234.6385357179413</c:v>
                </c:pt>
                <c:pt idx="397">
                  <c:v>1229.1915075589454</c:v>
                </c:pt>
                <c:pt idx="398">
                  <c:v>1223.660978309086</c:v>
                </c:pt>
                <c:pt idx="399">
                  <c:v>1218.0473731479221</c:v>
                </c:pt>
                <c:pt idx="400">
                  <c:v>1212.3511219591055</c:v>
                </c:pt>
                <c:pt idx="401">
                  <c:v>1206.5726592302601</c:v>
                </c:pt>
                <c:pt idx="402">
                  <c:v>1200.7124239521208</c:v>
                </c:pt>
                <c:pt idx="403">
                  <c:v>1194.7708595169963</c:v>
                </c:pt>
                <c:pt idx="404">
                  <c:v>1188.7484136166188</c:v>
                </c:pt>
                <c:pt idx="405">
                  <c:v>1182.6455381394435</c:v>
                </c:pt>
                <c:pt idx="406">
                  <c:v>1176.4626890674579</c:v>
                </c:pt>
                <c:pt idx="407">
                  <c:v>1170.2003263725594</c:v>
                </c:pt>
                <c:pt idx="408">
                  <c:v>1163.8589139125584</c:v>
                </c:pt>
                <c:pt idx="409">
                  <c:v>1157.4389193268619</c:v>
                </c:pt>
                <c:pt idx="410">
                  <c:v>1150.9408139318939</c:v>
                </c:pt>
                <c:pt idx="411">
                  <c:v>1144.3650726163041</c:v>
                </c:pt>
                <c:pt idx="412">
                  <c:v>1137.7121737360169</c:v>
                </c:pt>
                <c:pt idx="413">
                  <c:v>1130.9825990091726</c:v>
                </c:pt>
                <c:pt idx="414">
                  <c:v>1124.17683341101</c:v>
                </c:pt>
                <c:pt idx="415">
                  <c:v>1117.2953650687382</c:v>
                </c:pt>
                <c:pt idx="416">
                  <c:v>1110.3386851564458</c:v>
                </c:pt>
                <c:pt idx="417">
                  <c:v>1103.3072877900947</c:v>
                </c:pt>
                <c:pt idx="418">
                  <c:v>1096.2016699226424</c:v>
                </c:pt>
                <c:pt idx="419">
                  <c:v>1089.022331239338</c:v>
                </c:pt>
                <c:pt idx="420">
                  <c:v>1081.7697740532362</c:v>
                </c:pt>
                <c:pt idx="421">
                  <c:v>1074.4445032009703</c:v>
                </c:pt>
                <c:pt idx="422">
                  <c:v>1067.0470259388267</c:v>
                </c:pt>
                <c:pt idx="423">
                  <c:v>1059.5778518391612</c:v>
                </c:pt>
                <c:pt idx="424">
                  <c:v>1052.0374926871973</c:v>
                </c:pt>
                <c:pt idx="425">
                  <c:v>1044.4264623782433</c:v>
                </c:pt>
                <c:pt idx="426">
                  <c:v>1036.7452768153694</c:v>
                </c:pt>
                <c:pt idx="427">
                  <c:v>1028.9944538075777</c:v>
                </c:pt>
                <c:pt idx="428">
                  <c:v>1021.1745129685039</c:v>
                </c:pt>
                <c:pt idx="429">
                  <c:v>1013.2859756156847</c:v>
                </c:pt>
                <c:pt idx="430">
                  <c:v>1005.3293646704241</c:v>
                </c:pt>
                <c:pt idx="431">
                  <c:v>997.30520455829333</c:v>
                </c:pt>
                <c:pt idx="432">
                  <c:v>989.21402111029545</c:v>
                </c:pt>
                <c:pt idx="433">
                  <c:v>981.05634146472607</c:v>
                </c:pt>
                <c:pt idx="434">
                  <c:v>972.83269396976141</c:v>
                </c:pt>
                <c:pt idx="435">
                  <c:v>964.54360808680133</c:v>
                </c:pt>
                <c:pt idx="436">
                  <c:v>956.18961429459819</c:v>
                </c:pt>
                <c:pt idx="437">
                  <c:v>947.77124399419688</c:v>
                </c:pt>
                <c:pt idx="438">
                  <c:v>939.28902941471461</c:v>
                </c:pt>
                <c:pt idx="439">
                  <c:v>930.74350351998487</c:v>
                </c:pt>
                <c:pt idx="440">
                  <c:v>922.13519991609132</c:v>
                </c:pt>
                <c:pt idx="441">
                  <c:v>913.46465275981507</c:v>
                </c:pt>
                <c:pt idx="442">
                  <c:v>904.73239666801874</c:v>
                </c:pt>
                <c:pt idx="443">
                  <c:v>895.9389666279892</c:v>
                </c:pt>
                <c:pt idx="444">
                  <c:v>887.08489790876069</c:v>
                </c:pt>
                <c:pt idx="445">
                  <c:v>878.17072597343838</c:v>
                </c:pt>
                <c:pt idx="446">
                  <c:v>869.19698639254204</c:v>
                </c:pt>
                <c:pt idx="447">
                  <c:v>860.16421475838831</c:v>
                </c:pt>
                <c:pt idx="448">
                  <c:v>851.07294660052935</c:v>
                </c:pt>
                <c:pt idx="449">
                  <c:v>841.92371730226546</c:v>
                </c:pt>
                <c:pt idx="450">
                  <c:v>832.71706201824645</c:v>
                </c:pt>
                <c:pt idx="451">
                  <c:v>823.45351559317805</c:v>
                </c:pt>
                <c:pt idx="452">
                  <c:v>814.13361248164733</c:v>
                </c:pt>
                <c:pt idx="453">
                  <c:v>804.75788666908045</c:v>
                </c:pt>
                <c:pt idx="454">
                  <c:v>795.32687159384579</c:v>
                </c:pt>
                <c:pt idx="455">
                  <c:v>785.84110007051424</c:v>
                </c:pt>
                <c:pt idx="456">
                  <c:v>776.30110421428731</c:v>
                </c:pt>
                <c:pt idx="457">
                  <c:v>766.7074153666041</c:v>
                </c:pt>
                <c:pt idx="458">
                  <c:v>757.06056402193587</c:v>
                </c:pt>
                <c:pt idx="459">
                  <c:v>747.3610797557775</c:v>
                </c:pt>
                <c:pt idx="460">
                  <c:v>737.60949115384312</c:v>
                </c:pt>
                <c:pt idx="461">
                  <c:v>727.80632574247397</c:v>
                </c:pt>
                <c:pt idx="462">
                  <c:v>717.95210992026364</c:v>
                </c:pt>
                <c:pt idx="463">
                  <c:v>708.04736889090816</c:v>
                </c:pt>
                <c:pt idx="464">
                  <c:v>698.09262659728381</c:v>
                </c:pt>
                <c:pt idx="465">
                  <c:v>688.08840565675894</c:v>
                </c:pt>
                <c:pt idx="466">
                  <c:v>678.0352272977417</c:v>
                </c:pt>
                <c:pt idx="467">
                  <c:v>667.93361129746768</c:v>
                </c:pt>
                <c:pt idx="468">
                  <c:v>657.78407592102917</c:v>
                </c:pt>
                <c:pt idx="469">
                  <c:v>647.58713786164776</c:v>
                </c:pt>
                <c:pt idx="470">
                  <c:v>637.34331218219063</c:v>
                </c:pt>
                <c:pt idx="471">
                  <c:v>627.05311225793196</c:v>
                </c:pt>
                <c:pt idx="472">
                  <c:v>616.71704972055795</c:v>
                </c:pt>
                <c:pt idx="473">
                  <c:v>606.33563440341516</c:v>
                </c:pt>
                <c:pt idx="474">
                  <c:v>595.90937428800009</c:v>
                </c:pt>
                <c:pt idx="475">
                  <c:v>585.4387754516888</c:v>
                </c:pt>
                <c:pt idx="476">
                  <c:v>574.92434201670255</c:v>
                </c:pt>
                <c:pt idx="477">
                  <c:v>564.36657610030773</c:v>
                </c:pt>
                <c:pt idx="478">
                  <c:v>553.76597776624487</c:v>
                </c:pt>
                <c:pt idx="479">
                  <c:v>543.12304497738376</c:v>
                </c:pt>
                <c:pt idx="480">
                  <c:v>532.43827354959842</c:v>
                </c:pt>
                <c:pt idx="481">
                  <c:v>521.71215710685851</c:v>
                </c:pt>
                <c:pt idx="482">
                  <c:v>510.94518703752948</c:v>
                </c:pt>
                <c:pt idx="483">
                  <c:v>500.13785245187671</c:v>
                </c:pt>
                <c:pt idx="484">
                  <c:v>489.29064014076596</c:v>
                </c:pt>
                <c:pt idx="485">
                  <c:v>478.40403453555393</c:v>
                </c:pt>
                <c:pt idx="486">
                  <c:v>467.47851766916062</c:v>
                </c:pt>
                <c:pt idx="487">
                  <c:v>456.51456913831601</c:v>
                </c:pt>
                <c:pt idx="488">
                  <c:v>445.51266606697266</c:v>
                </c:pt>
                <c:pt idx="489">
                  <c:v>434.47328307087542</c:v>
                </c:pt>
                <c:pt idx="490">
                  <c:v>423.39689222327951</c:v>
                </c:pt>
                <c:pt idx="491">
                  <c:v>412.28396302180721</c:v>
                </c:pt>
                <c:pt idx="492">
                  <c:v>401.13496235643362</c:v>
                </c:pt>
                <c:pt idx="493">
                  <c:v>389.95035447859135</c:v>
                </c:pt>
                <c:pt idx="494">
                  <c:v>378.73060097138415</c:v>
                </c:pt>
                <c:pt idx="495">
                  <c:v>367.47616072089801</c:v>
                </c:pt>
                <c:pt idx="496">
                  <c:v>356.18748988859988</c:v>
                </c:pt>
                <c:pt idx="497">
                  <c:v>344.86504188481189</c:v>
                </c:pt>
                <c:pt idx="498">
                  <c:v>333.50926734325026</c:v>
                </c:pt>
                <c:pt idx="499">
                  <c:v>322.12061409661669</c:v>
                </c:pt>
                <c:pt idx="500">
                  <c:v>310.69952715323097</c:v>
                </c:pt>
                <c:pt idx="501">
                  <c:v>299.24644867469198</c:v>
                </c:pt>
                <c:pt idx="502">
                  <c:v>287.76181795455523</c:v>
                </c:pt>
                <c:pt idx="503">
                  <c:v>276.24607139801435</c:v>
                </c:pt>
                <c:pt idx="504">
                  <c:v>264.69964250257374</c:v>
                </c:pt>
                <c:pt idx="505">
                  <c:v>253.12296183969957</c:v>
                </c:pt>
                <c:pt idx="506">
                  <c:v>241.51645703743606</c:v>
                </c:pt>
                <c:pt idx="507">
                  <c:v>229.88055276397409</c:v>
                </c:pt>
                <c:pt idx="508">
                  <c:v>218.21567071215858</c:v>
                </c:pt>
                <c:pt idx="509">
                  <c:v>206.52222958492152</c:v>
                </c:pt>
                <c:pt idx="510">
                  <c:v>194.80064508162684</c:v>
                </c:pt>
                <c:pt idx="511">
                  <c:v>183.05132988531386</c:v>
                </c:pt>
                <c:pt idx="512">
                  <c:v>171.27469365082527</c:v>
                </c:pt>
                <c:pt idx="513">
                  <c:v>159.47114299380607</c:v>
                </c:pt>
                <c:pt idx="514">
                  <c:v>147.64108148055965</c:v>
                </c:pt>
                <c:pt idx="515">
                  <c:v>135.78490961874695</c:v>
                </c:pt>
                <c:pt idx="516">
                  <c:v>123.90302484891491</c:v>
                </c:pt>
                <c:pt idx="517">
                  <c:v>111.99582153684011</c:v>
                </c:pt>
                <c:pt idx="518">
                  <c:v>100.06369096667359</c:v>
                </c:pt>
                <c:pt idx="519">
                  <c:v>88.107021334872911</c:v>
                </c:pt>
                <c:pt idx="520">
                  <c:v>76.126197744907174</c:v>
                </c:pt>
                <c:pt idx="521">
                  <c:v>64.12160220272122</c:v>
                </c:pt>
                <c:pt idx="522">
                  <c:v>52.093613612944687</c:v>
                </c:pt>
                <c:pt idx="523">
                  <c:v>40.042607775832025</c:v>
                </c:pt>
                <c:pt idx="524">
                  <c:v>27.968957384919399</c:v>
                </c:pt>
                <c:pt idx="525">
                  <c:v>15.873032025384418</c:v>
                </c:pt>
                <c:pt idx="526">
                  <c:v>3.7551981730947972</c:v>
                </c:pt>
                <c:pt idx="527">
                  <c:v>-8.3841808056680662</c:v>
                </c:pt>
                <c:pt idx="528">
                  <c:v>-8.396330877259949</c:v>
                </c:pt>
                <c:pt idx="529">
                  <c:v>-8.4084809698571732</c:v>
                </c:pt>
                <c:pt idx="530">
                  <c:v>-8.4206310834593818</c:v>
                </c:pt>
                <c:pt idx="531">
                  <c:v>-8.4327812180662214</c:v>
                </c:pt>
                <c:pt idx="532">
                  <c:v>-8.4449313736773366</c:v>
                </c:pt>
                <c:pt idx="533">
                  <c:v>-8.457081550292374</c:v>
                </c:pt>
                <c:pt idx="534">
                  <c:v>-8.4692317479109764</c:v>
                </c:pt>
                <c:pt idx="535">
                  <c:v>-8.4813819665327905</c:v>
                </c:pt>
                <c:pt idx="536">
                  <c:v>-8.493532206157461</c:v>
                </c:pt>
                <c:pt idx="537">
                  <c:v>-8.5056824667846342</c:v>
                </c:pt>
                <c:pt idx="538">
                  <c:v>-8.5178327484139533</c:v>
                </c:pt>
                <c:pt idx="539">
                  <c:v>-8.5299830510450647</c:v>
                </c:pt>
                <c:pt idx="540">
                  <c:v>-8.5421333746776131</c:v>
                </c:pt>
                <c:pt idx="541">
                  <c:v>-8.5542837193112433</c:v>
                </c:pt>
                <c:pt idx="542">
                  <c:v>-8.5664340849456</c:v>
                </c:pt>
                <c:pt idx="543">
                  <c:v>-8.5785844715803297</c:v>
                </c:pt>
                <c:pt idx="544">
                  <c:v>-8.5907348792150771</c:v>
                </c:pt>
                <c:pt idx="545">
                  <c:v>-8.6028853078494869</c:v>
                </c:pt>
                <c:pt idx="546">
                  <c:v>-8.6150357574832039</c:v>
                </c:pt>
                <c:pt idx="547">
                  <c:v>-8.6271862281158747</c:v>
                </c:pt>
                <c:pt idx="548">
                  <c:v>-8.6393367197471438</c:v>
                </c:pt>
                <c:pt idx="549">
                  <c:v>-8.6514872323766561</c:v>
                </c:pt>
                <c:pt idx="550">
                  <c:v>-8.6636377660040562</c:v>
                </c:pt>
                <c:pt idx="551">
                  <c:v>-8.6757883206289907</c:v>
                </c:pt>
                <c:pt idx="552">
                  <c:v>-8.6879388962511026</c:v>
                </c:pt>
                <c:pt idx="553">
                  <c:v>-8.7000894928700401</c:v>
                </c:pt>
                <c:pt idx="554">
                  <c:v>-8.7122401104854461</c:v>
                </c:pt>
                <c:pt idx="555">
                  <c:v>-8.7243907490969654</c:v>
                </c:pt>
                <c:pt idx="556">
                  <c:v>-8.7365414087042446</c:v>
                </c:pt>
                <c:pt idx="557">
                  <c:v>-8.7486920893069282</c:v>
                </c:pt>
                <c:pt idx="558">
                  <c:v>-8.7608427909046629</c:v>
                </c:pt>
                <c:pt idx="559">
                  <c:v>-8.7729935134970916</c:v>
                </c:pt>
                <c:pt idx="560">
                  <c:v>-8.7851442570838607</c:v>
                </c:pt>
                <c:pt idx="561">
                  <c:v>-8.7972950216646151</c:v>
                </c:pt>
                <c:pt idx="562">
                  <c:v>-8.8094458072390012</c:v>
                </c:pt>
                <c:pt idx="563">
                  <c:v>-8.8215966138066637</c:v>
                </c:pt>
                <c:pt idx="564">
                  <c:v>-8.8337474413672457</c:v>
                </c:pt>
                <c:pt idx="565">
                  <c:v>-8.8458982899203953</c:v>
                </c:pt>
                <c:pt idx="566">
                  <c:v>-8.8580491594657556</c:v>
                </c:pt>
                <c:pt idx="567">
                  <c:v>-8.870200050002973</c:v>
                </c:pt>
                <c:pt idx="568">
                  <c:v>-8.8823509615316922</c:v>
                </c:pt>
                <c:pt idx="569">
                  <c:v>-8.8945018940515581</c:v>
                </c:pt>
                <c:pt idx="570">
                  <c:v>-8.9066528475622171</c:v>
                </c:pt>
                <c:pt idx="571">
                  <c:v>-8.9188038220633139</c:v>
                </c:pt>
                <c:pt idx="572">
                  <c:v>-8.9309548175544933</c:v>
                </c:pt>
                <c:pt idx="573">
                  <c:v>-8.9431058340354017</c:v>
                </c:pt>
                <c:pt idx="574">
                  <c:v>-8.9552568715056822</c:v>
                </c:pt>
                <c:pt idx="575">
                  <c:v>-8.9674079299649812</c:v>
                </c:pt>
                <c:pt idx="576">
                  <c:v>-8.9795590094129452</c:v>
                </c:pt>
                <c:pt idx="577">
                  <c:v>-8.9917101098492171</c:v>
                </c:pt>
                <c:pt idx="578">
                  <c:v>-9.0038612312734436</c:v>
                </c:pt>
                <c:pt idx="579">
                  <c:v>-9.0160123736852693</c:v>
                </c:pt>
                <c:pt idx="580">
                  <c:v>-9.0281635370843407</c:v>
                </c:pt>
                <c:pt idx="581">
                  <c:v>-9.0403147214703026</c:v>
                </c:pt>
                <c:pt idx="582">
                  <c:v>-9.0524659268427996</c:v>
                </c:pt>
                <c:pt idx="583">
                  <c:v>-9.0646171532014765</c:v>
                </c:pt>
                <c:pt idx="584">
                  <c:v>-9.0767684005459799</c:v>
                </c:pt>
                <c:pt idx="585">
                  <c:v>-9.0889196688759544</c:v>
                </c:pt>
                <c:pt idx="586">
                  <c:v>-9.1010709581910447</c:v>
                </c:pt>
                <c:pt idx="587">
                  <c:v>-9.1132222684908974</c:v>
                </c:pt>
                <c:pt idx="588">
                  <c:v>-9.1253735997751573</c:v>
                </c:pt>
                <c:pt idx="589">
                  <c:v>-9.1375249520434689</c:v>
                </c:pt>
                <c:pt idx="590">
                  <c:v>-9.1496763252954789</c:v>
                </c:pt>
                <c:pt idx="591">
                  <c:v>-9.161827719530832</c:v>
                </c:pt>
                <c:pt idx="592">
                  <c:v>-9.1739791347491728</c:v>
                </c:pt>
                <c:pt idx="593">
                  <c:v>-9.186130570950148</c:v>
                </c:pt>
                <c:pt idx="594">
                  <c:v>-9.1982820281334003</c:v>
                </c:pt>
                <c:pt idx="595">
                  <c:v>-9.2104335062985783</c:v>
                </c:pt>
                <c:pt idx="596">
                  <c:v>-9.2225850054453247</c:v>
                </c:pt>
                <c:pt idx="597">
                  <c:v>-9.2347365255732861</c:v>
                </c:pt>
                <c:pt idx="598">
                  <c:v>-9.2468880666821072</c:v>
                </c:pt>
                <c:pt idx="599">
                  <c:v>-9.2590396287714345</c:v>
                </c:pt>
                <c:pt idx="600">
                  <c:v>-9.2711912118409128</c:v>
                </c:pt>
                <c:pt idx="601">
                  <c:v>-9.2833428158901867</c:v>
                </c:pt>
                <c:pt idx="602">
                  <c:v>-9.2954944409189011</c:v>
                </c:pt>
                <c:pt idx="603">
                  <c:v>-9.3076460869267024</c:v>
                </c:pt>
                <c:pt idx="604">
                  <c:v>-9.3197977539132353</c:v>
                </c:pt>
                <c:pt idx="605">
                  <c:v>-9.3319494418781463</c:v>
                </c:pt>
                <c:pt idx="606">
                  <c:v>-9.3441011508210803</c:v>
                </c:pt>
                <c:pt idx="607">
                  <c:v>-9.3562528807416818</c:v>
                </c:pt>
                <c:pt idx="608">
                  <c:v>-9.3684046316395975</c:v>
                </c:pt>
                <c:pt idx="609">
                  <c:v>-9.3805564035144702</c:v>
                </c:pt>
                <c:pt idx="610">
                  <c:v>-9.3927081963659482</c:v>
                </c:pt>
                <c:pt idx="611">
                  <c:v>-9.4048600101936746</c:v>
                </c:pt>
                <c:pt idx="612">
                  <c:v>-9.4170118449972957</c:v>
                </c:pt>
                <c:pt idx="613">
                  <c:v>-9.4291637007764582</c:v>
                </c:pt>
                <c:pt idx="614">
                  <c:v>-9.4413155775308049</c:v>
                </c:pt>
                <c:pt idx="615">
                  <c:v>-9.4534674752599823</c:v>
                </c:pt>
                <c:pt idx="616">
                  <c:v>-9.4656193939636371</c:v>
                </c:pt>
                <c:pt idx="617">
                  <c:v>-9.477771333641412</c:v>
                </c:pt>
                <c:pt idx="618">
                  <c:v>-9.4899232942929554</c:v>
                </c:pt>
                <c:pt idx="619">
                  <c:v>-9.5020752759179103</c:v>
                </c:pt>
                <c:pt idx="620">
                  <c:v>-9.5142272785159232</c:v>
                </c:pt>
                <c:pt idx="621">
                  <c:v>-9.5263793020866387</c:v>
                </c:pt>
                <c:pt idx="622">
                  <c:v>-9.5385313466297035</c:v>
                </c:pt>
                <c:pt idx="623">
                  <c:v>-9.5506834121447621</c:v>
                </c:pt>
                <c:pt idx="624">
                  <c:v>-9.5628354986314594</c:v>
                </c:pt>
                <c:pt idx="625">
                  <c:v>-9.5749876060894419</c:v>
                </c:pt>
                <c:pt idx="626">
                  <c:v>-9.5871397345183542</c:v>
                </c:pt>
                <c:pt idx="627">
                  <c:v>-9.5992918839178412</c:v>
                </c:pt>
                <c:pt idx="628">
                  <c:v>-9.6114440542875492</c:v>
                </c:pt>
                <c:pt idx="629">
                  <c:v>-9.6235962456271249</c:v>
                </c:pt>
                <c:pt idx="630">
                  <c:v>-9.6357484579362112</c:v>
                </c:pt>
                <c:pt idx="631">
                  <c:v>-9.6479006912144545</c:v>
                </c:pt>
                <c:pt idx="632">
                  <c:v>-9.6600529454615014</c:v>
                </c:pt>
                <c:pt idx="633">
                  <c:v>-9.6722052206769948</c:v>
                </c:pt>
                <c:pt idx="634">
                  <c:v>-9.6843575168605831</c:v>
                </c:pt>
                <c:pt idx="635">
                  <c:v>-9.6965098340119091</c:v>
                </c:pt>
                <c:pt idx="636">
                  <c:v>-9.7086621721306194</c:v>
                </c:pt>
                <c:pt idx="637">
                  <c:v>-9.7208145312163587</c:v>
                </c:pt>
                <c:pt idx="638">
                  <c:v>-9.7329669112687736</c:v>
                </c:pt>
                <c:pt idx="639">
                  <c:v>-9.7451193122875086</c:v>
                </c:pt>
                <c:pt idx="640">
                  <c:v>-9.7572717342722104</c:v>
                </c:pt>
                <c:pt idx="641">
                  <c:v>-9.7694241772225237</c:v>
                </c:pt>
                <c:pt idx="642">
                  <c:v>-9.7815766411380931</c:v>
                </c:pt>
                <c:pt idx="643">
                  <c:v>-9.7937291260185653</c:v>
                </c:pt>
                <c:pt idx="644">
                  <c:v>-9.8058816318635849</c:v>
                </c:pt>
                <c:pt idx="645">
                  <c:v>-9.8180341586727984</c:v>
                </c:pt>
                <c:pt idx="646">
                  <c:v>-9.8301867064458506</c:v>
                </c:pt>
                <c:pt idx="647">
                  <c:v>-9.8423392751823862</c:v>
                </c:pt>
                <c:pt idx="648">
                  <c:v>-9.8544918648820516</c:v>
                </c:pt>
                <c:pt idx="649">
                  <c:v>-9.8666444755444918</c:v>
                </c:pt>
                <c:pt idx="650">
                  <c:v>-9.878797107169353</c:v>
                </c:pt>
                <c:pt idx="651">
                  <c:v>-9.8909497597562801</c:v>
                </c:pt>
                <c:pt idx="652">
                  <c:v>-9.9031024333049196</c:v>
                </c:pt>
                <c:pt idx="653">
                  <c:v>-9.9152551278149161</c:v>
                </c:pt>
                <c:pt idx="654">
                  <c:v>-9.9274078432859145</c:v>
                </c:pt>
                <c:pt idx="655">
                  <c:v>-9.9395605797175612</c:v>
                </c:pt>
                <c:pt idx="656">
                  <c:v>-9.951713337109501</c:v>
                </c:pt>
                <c:pt idx="657">
                  <c:v>-9.9638661154613803</c:v>
                </c:pt>
                <c:pt idx="658">
                  <c:v>-9.976018914772844</c:v>
                </c:pt>
                <c:pt idx="659">
                  <c:v>-9.9881717350435366</c:v>
                </c:pt>
                <c:pt idx="660">
                  <c:v>-10.000324576273105</c:v>
                </c:pt>
                <c:pt idx="661">
                  <c:v>-10.012477438461195</c:v>
                </c:pt>
                <c:pt idx="662">
                  <c:v>-10.024630321607452</c:v>
                </c:pt>
                <c:pt idx="663">
                  <c:v>-10.03678322571152</c:v>
                </c:pt>
                <c:pt idx="664">
                  <c:v>-10.048936150773047</c:v>
                </c:pt>
                <c:pt idx="665">
                  <c:v>-10.061089096791676</c:v>
                </c:pt>
                <c:pt idx="666">
                  <c:v>-10.073242063767054</c:v>
                </c:pt>
                <c:pt idx="667">
                  <c:v>-10.085395051698827</c:v>
                </c:pt>
                <c:pt idx="668">
                  <c:v>-10.097548060586638</c:v>
                </c:pt>
                <c:pt idx="669">
                  <c:v>-10.109701090430134</c:v>
                </c:pt>
                <c:pt idx="670">
                  <c:v>-10.121854141228962</c:v>
                </c:pt>
                <c:pt idx="671">
                  <c:v>-10.134007212982764</c:v>
                </c:pt>
                <c:pt idx="672">
                  <c:v>-10.14616030569119</c:v>
                </c:pt>
                <c:pt idx="673">
                  <c:v>-10.158313419353883</c:v>
                </c:pt>
                <c:pt idx="674">
                  <c:v>-10.170466553970488</c:v>
                </c:pt>
                <c:pt idx="675">
                  <c:v>-10.182619709540653</c:v>
                </c:pt>
                <c:pt idx="676">
                  <c:v>-10.194772886064021</c:v>
                </c:pt>
                <c:pt idx="677">
                  <c:v>-10.206926083540237</c:v>
                </c:pt>
                <c:pt idx="678">
                  <c:v>-10.21907930196895</c:v>
                </c:pt>
                <c:pt idx="679">
                  <c:v>-10.231232541349803</c:v>
                </c:pt>
                <c:pt idx="680">
                  <c:v>-10.243385801682441</c:v>
                </c:pt>
                <c:pt idx="681">
                  <c:v>-10.255539082966513</c:v>
                </c:pt>
                <c:pt idx="682">
                  <c:v>-10.267692385201661</c:v>
                </c:pt>
                <c:pt idx="683">
                  <c:v>-10.279845708387532</c:v>
                </c:pt>
                <c:pt idx="684">
                  <c:v>-10.291999052523771</c:v>
                </c:pt>
                <c:pt idx="685">
                  <c:v>-10.304152417610025</c:v>
                </c:pt>
                <c:pt idx="686">
                  <c:v>-10.316305803645939</c:v>
                </c:pt>
                <c:pt idx="687">
                  <c:v>-10.328459210631157</c:v>
                </c:pt>
                <c:pt idx="688">
                  <c:v>-10.340612638565327</c:v>
                </c:pt>
                <c:pt idx="689">
                  <c:v>-10.352766087448092</c:v>
                </c:pt>
                <c:pt idx="690">
                  <c:v>-10.3649195572791</c:v>
                </c:pt>
                <c:pt idx="691">
                  <c:v>-10.377073048057996</c:v>
                </c:pt>
                <c:pt idx="692">
                  <c:v>-10.389226559784424</c:v>
                </c:pt>
                <c:pt idx="693">
                  <c:v>-10.401380092458032</c:v>
                </c:pt>
                <c:pt idx="694">
                  <c:v>-10.413533646078465</c:v>
                </c:pt>
                <c:pt idx="695">
                  <c:v>-10.425687220645367</c:v>
                </c:pt>
                <c:pt idx="696">
                  <c:v>-10.437840816158385</c:v>
                </c:pt>
                <c:pt idx="697">
                  <c:v>-10.449994432617164</c:v>
                </c:pt>
                <c:pt idx="698">
                  <c:v>-10.46214807002135</c:v>
                </c:pt>
                <c:pt idx="699">
                  <c:v>-10.474301728370587</c:v>
                </c:pt>
                <c:pt idx="700">
                  <c:v>-10.486455407664524</c:v>
                </c:pt>
                <c:pt idx="701">
                  <c:v>-10.498609107902803</c:v>
                </c:pt>
                <c:pt idx="702">
                  <c:v>-10.510762829085072</c:v>
                </c:pt>
                <c:pt idx="703">
                  <c:v>-10.522916571210978</c:v>
                </c:pt>
                <c:pt idx="704">
                  <c:v>-10.535070334280164</c:v>
                </c:pt>
                <c:pt idx="705">
                  <c:v>-10.547224118292275</c:v>
                </c:pt>
                <c:pt idx="706">
                  <c:v>-10.559377923246959</c:v>
                </c:pt>
                <c:pt idx="707">
                  <c:v>-10.57153174914386</c:v>
                </c:pt>
                <c:pt idx="708">
                  <c:v>-10.583685595982624</c:v>
                </c:pt>
                <c:pt idx="709">
                  <c:v>-10.595839463762898</c:v>
                </c:pt>
                <c:pt idx="710">
                  <c:v>-10.607993352484327</c:v>
                </c:pt>
                <c:pt idx="711">
                  <c:v>-10.620147262146554</c:v>
                </c:pt>
                <c:pt idx="712">
                  <c:v>-10.632301192749228</c:v>
                </c:pt>
                <c:pt idx="713">
                  <c:v>-10.644455144291994</c:v>
                </c:pt>
                <c:pt idx="714">
                  <c:v>-10.656609116774497</c:v>
                </c:pt>
                <c:pt idx="715">
                  <c:v>-10.668763110196384</c:v>
                </c:pt>
                <c:pt idx="716">
                  <c:v>-10.680917124557299</c:v>
                </c:pt>
                <c:pt idx="717">
                  <c:v>-10.693071159856888</c:v>
                </c:pt>
                <c:pt idx="718">
                  <c:v>-10.705225216094798</c:v>
                </c:pt>
                <c:pt idx="719">
                  <c:v>-10.717379293270673</c:v>
                </c:pt>
                <c:pt idx="720">
                  <c:v>-10.729533391384159</c:v>
                </c:pt>
                <c:pt idx="721">
                  <c:v>-10.741687510434902</c:v>
                </c:pt>
                <c:pt idx="722">
                  <c:v>-10.753841650422547</c:v>
                </c:pt>
                <c:pt idx="723">
                  <c:v>-10.765995811346741</c:v>
                </c:pt>
                <c:pt idx="724">
                  <c:v>-10.77814999320713</c:v>
                </c:pt>
                <c:pt idx="725">
                  <c:v>-10.790304196003358</c:v>
                </c:pt>
                <c:pt idx="726">
                  <c:v>-10.802458419735071</c:v>
                </c:pt>
                <c:pt idx="727">
                  <c:v>-10.814612664401917</c:v>
                </c:pt>
                <c:pt idx="728">
                  <c:v>-10.826766930003538</c:v>
                </c:pt>
                <c:pt idx="729">
                  <c:v>-10.838921216539584</c:v>
                </c:pt>
                <c:pt idx="730">
                  <c:v>-10.851075524009696</c:v>
                </c:pt>
                <c:pt idx="731">
                  <c:v>-10.863229852413523</c:v>
                </c:pt>
                <c:pt idx="732">
                  <c:v>-10.875384201750711</c:v>
                </c:pt>
                <c:pt idx="733">
                  <c:v>-10.887538572020903</c:v>
                </c:pt>
                <c:pt idx="734">
                  <c:v>-10.899692963223746</c:v>
                </c:pt>
                <c:pt idx="735">
                  <c:v>-10.911847375358887</c:v>
                </c:pt>
                <c:pt idx="736">
                  <c:v>-10.92400180842597</c:v>
                </c:pt>
                <c:pt idx="737">
                  <c:v>-10.936156262424642</c:v>
                </c:pt>
                <c:pt idx="738">
                  <c:v>-10.948310737354548</c:v>
                </c:pt>
                <c:pt idx="739">
                  <c:v>-10.960465233215334</c:v>
                </c:pt>
                <c:pt idx="740">
                  <c:v>-10.972619750006647</c:v>
                </c:pt>
                <c:pt idx="741">
                  <c:v>-10.984774287728131</c:v>
                </c:pt>
                <c:pt idx="742">
                  <c:v>-10.996928846379433</c:v>
                </c:pt>
                <c:pt idx="743">
                  <c:v>-11.009083425960197</c:v>
                </c:pt>
                <c:pt idx="744">
                  <c:v>-11.021238026470071</c:v>
                </c:pt>
                <c:pt idx="745">
                  <c:v>-11.033392647908698</c:v>
                </c:pt>
                <c:pt idx="746">
                  <c:v>-11.045547290275726</c:v>
                </c:pt>
                <c:pt idx="747">
                  <c:v>-11.057701953570801</c:v>
                </c:pt>
                <c:pt idx="748">
                  <c:v>-11.069856637793567</c:v>
                </c:pt>
                <c:pt idx="749">
                  <c:v>-11.08201134294367</c:v>
                </c:pt>
                <c:pt idx="750">
                  <c:v>-11.094166069020757</c:v>
                </c:pt>
                <c:pt idx="751">
                  <c:v>-11.106320816024473</c:v>
                </c:pt>
                <c:pt idx="752">
                  <c:v>-11.118475583954464</c:v>
                </c:pt>
                <c:pt idx="753">
                  <c:v>-11.130630372810375</c:v>
                </c:pt>
                <c:pt idx="754">
                  <c:v>-11.142785182591853</c:v>
                </c:pt>
                <c:pt idx="755">
                  <c:v>-11.154940013298543</c:v>
                </c:pt>
                <c:pt idx="756">
                  <c:v>-11.167094864930091</c:v>
                </c:pt>
                <c:pt idx="757">
                  <c:v>-11.179249737486144</c:v>
                </c:pt>
                <c:pt idx="758">
                  <c:v>-11.191404630966346</c:v>
                </c:pt>
                <c:pt idx="759">
                  <c:v>-11.203559545370345</c:v>
                </c:pt>
                <c:pt idx="760">
                  <c:v>-11.215714480697784</c:v>
                </c:pt>
                <c:pt idx="761">
                  <c:v>-11.227869436948311</c:v>
                </c:pt>
                <c:pt idx="762">
                  <c:v>-11.240024414121571</c:v>
                </c:pt>
                <c:pt idx="763">
                  <c:v>-11.25217941221721</c:v>
                </c:pt>
                <c:pt idx="764">
                  <c:v>-11.264334431234873</c:v>
                </c:pt>
                <c:pt idx="765">
                  <c:v>-11.276489471174207</c:v>
                </c:pt>
                <c:pt idx="766">
                  <c:v>-11.288644532034857</c:v>
                </c:pt>
                <c:pt idx="767">
                  <c:v>-11.300799613816469</c:v>
                </c:pt>
                <c:pt idx="768">
                  <c:v>-11.312954716518689</c:v>
                </c:pt>
                <c:pt idx="769">
                  <c:v>-11.325109840141163</c:v>
                </c:pt>
                <c:pt idx="770">
                  <c:v>-11.337264984683538</c:v>
                </c:pt>
                <c:pt idx="771">
                  <c:v>-11.349420150145457</c:v>
                </c:pt>
                <c:pt idx="772">
                  <c:v>-11.361575336526569</c:v>
                </c:pt>
                <c:pt idx="773">
                  <c:v>-11.373730543826516</c:v>
                </c:pt>
                <c:pt idx="774">
                  <c:v>-11.385885772044947</c:v>
                </c:pt>
                <c:pt idx="775">
                  <c:v>-11.398041021181507</c:v>
                </c:pt>
                <c:pt idx="776">
                  <c:v>-11.410196291235842</c:v>
                </c:pt>
                <c:pt idx="777">
                  <c:v>-11.422351582207597</c:v>
                </c:pt>
                <c:pt idx="778">
                  <c:v>-11.434506894096419</c:v>
                </c:pt>
                <c:pt idx="779">
                  <c:v>-11.446662226901953</c:v>
                </c:pt>
                <c:pt idx="780">
                  <c:v>-11.458817580623846</c:v>
                </c:pt>
                <c:pt idx="781">
                  <c:v>-11.470972955261743</c:v>
                </c:pt>
                <c:pt idx="782">
                  <c:v>-11.48312835081529</c:v>
                </c:pt>
                <c:pt idx="783">
                  <c:v>-11.495283767284134</c:v>
                </c:pt>
                <c:pt idx="784">
                  <c:v>-11.507439204667918</c:v>
                </c:pt>
                <c:pt idx="785">
                  <c:v>-11.51959466296629</c:v>
                </c:pt>
                <c:pt idx="786">
                  <c:v>-11.531750142178895</c:v>
                </c:pt>
                <c:pt idx="787">
                  <c:v>-11.543905642305381</c:v>
                </c:pt>
                <c:pt idx="788">
                  <c:v>-11.556061163345392</c:v>
                </c:pt>
                <c:pt idx="789">
                  <c:v>-11.568216705298575</c:v>
                </c:pt>
                <c:pt idx="790">
                  <c:v>-11.580372268164574</c:v>
                </c:pt>
                <c:pt idx="791">
                  <c:v>-11.592527851943036</c:v>
                </c:pt>
                <c:pt idx="792">
                  <c:v>-11.604683456633607</c:v>
                </c:pt>
                <c:pt idx="793">
                  <c:v>-11.616839082235932</c:v>
                </c:pt>
                <c:pt idx="794">
                  <c:v>-11.62899472874966</c:v>
                </c:pt>
                <c:pt idx="795">
                  <c:v>-11.641150396174433</c:v>
                </c:pt>
                <c:pt idx="796">
                  <c:v>-11.6533060845099</c:v>
                </c:pt>
                <c:pt idx="797">
                  <c:v>-11.665461793755705</c:v>
                </c:pt>
                <c:pt idx="798">
                  <c:v>-11.677617523911495</c:v>
                </c:pt>
                <c:pt idx="799">
                  <c:v>-11.689773274976915</c:v>
                </c:pt>
                <c:pt idx="800">
                  <c:v>-11.70192904695161</c:v>
                </c:pt>
                <c:pt idx="801">
                  <c:v>-11.714084839835229</c:v>
                </c:pt>
                <c:pt idx="802">
                  <c:v>-11.726240653627416</c:v>
                </c:pt>
                <c:pt idx="803">
                  <c:v>-11.738396488327817</c:v>
                </c:pt>
                <c:pt idx="804">
                  <c:v>-11.750552343936079</c:v>
                </c:pt>
                <c:pt idx="805">
                  <c:v>-11.762708220451847</c:v>
                </c:pt>
                <c:pt idx="806">
                  <c:v>-11.774864117874767</c:v>
                </c:pt>
                <c:pt idx="807">
                  <c:v>-11.787020036204485</c:v>
                </c:pt>
                <c:pt idx="808">
                  <c:v>-11.799175975440646</c:v>
                </c:pt>
                <c:pt idx="809">
                  <c:v>-11.811331935582897</c:v>
                </c:pt>
                <c:pt idx="810">
                  <c:v>-11.823487916630885</c:v>
                </c:pt>
                <c:pt idx="811">
                  <c:v>-11.835643918584255</c:v>
                </c:pt>
                <c:pt idx="812">
                  <c:v>-11.847799941442652</c:v>
                </c:pt>
                <c:pt idx="813">
                  <c:v>-11.859955985205723</c:v>
                </c:pt>
                <c:pt idx="814">
                  <c:v>-11.872112049873113</c:v>
                </c:pt>
                <c:pt idx="815">
                  <c:v>-11.88426813544447</c:v>
                </c:pt>
                <c:pt idx="816">
                  <c:v>-11.896424241919439</c:v>
                </c:pt>
                <c:pt idx="817">
                  <c:v>-11.908580369297665</c:v>
                </c:pt>
                <c:pt idx="818">
                  <c:v>-11.920736517578794</c:v>
                </c:pt>
                <c:pt idx="819">
                  <c:v>-11.932892686762473</c:v>
                </c:pt>
                <c:pt idx="820">
                  <c:v>-11.945048876848348</c:v>
                </c:pt>
                <c:pt idx="821">
                  <c:v>-11.957205087836066</c:v>
                </c:pt>
                <c:pt idx="822">
                  <c:v>-11.96936131972527</c:v>
                </c:pt>
                <c:pt idx="823">
                  <c:v>-11.981517572515608</c:v>
                </c:pt>
                <c:pt idx="824">
                  <c:v>-11.993673846206727</c:v>
                </c:pt>
                <c:pt idx="825">
                  <c:v>-12.00583014079827</c:v>
                </c:pt>
                <c:pt idx="826">
                  <c:v>-12.017986456289886</c:v>
                </c:pt>
                <c:pt idx="827">
                  <c:v>-12.03014279268122</c:v>
                </c:pt>
                <c:pt idx="828">
                  <c:v>-12.042299149971917</c:v>
                </c:pt>
                <c:pt idx="829">
                  <c:v>-12.054455528161624</c:v>
                </c:pt>
                <c:pt idx="830">
                  <c:v>-12.066611927249987</c:v>
                </c:pt>
                <c:pt idx="831">
                  <c:v>-12.078768347236652</c:v>
                </c:pt>
                <c:pt idx="832">
                  <c:v>-12.090924788121264</c:v>
                </c:pt>
                <c:pt idx="833">
                  <c:v>-12.10308124990347</c:v>
                </c:pt>
                <c:pt idx="834">
                  <c:v>-12.115237732582916</c:v>
                </c:pt>
                <c:pt idx="835">
                  <c:v>-12.127394236159247</c:v>
                </c:pt>
                <c:pt idx="836">
                  <c:v>-12.139550760632112</c:v>
                </c:pt>
                <c:pt idx="837">
                  <c:v>-12.151707306001155</c:v>
                </c:pt>
                <c:pt idx="838">
                  <c:v>-12.163863872266022</c:v>
                </c:pt>
                <c:pt idx="839">
                  <c:v>-12.176020459426359</c:v>
                </c:pt>
                <c:pt idx="840">
                  <c:v>-12.188177067481814</c:v>
                </c:pt>
                <c:pt idx="841">
                  <c:v>-12.200333696432029</c:v>
                </c:pt>
                <c:pt idx="842">
                  <c:v>-12.212490346276653</c:v>
                </c:pt>
                <c:pt idx="843">
                  <c:v>-12.224647017015331</c:v>
                </c:pt>
                <c:pt idx="844">
                  <c:v>-12.236803708647709</c:v>
                </c:pt>
                <c:pt idx="845">
                  <c:v>-12.248960421173434</c:v>
                </c:pt>
                <c:pt idx="846">
                  <c:v>-12.261117154592153</c:v>
                </c:pt>
                <c:pt idx="847">
                  <c:v>-12.27327390890351</c:v>
                </c:pt>
                <c:pt idx="848">
                  <c:v>-12.285430684107153</c:v>
                </c:pt>
                <c:pt idx="849">
                  <c:v>-12.297587480202726</c:v>
                </c:pt>
                <c:pt idx="850">
                  <c:v>-12.309744297189875</c:v>
                </c:pt>
                <c:pt idx="851">
                  <c:v>-12.321901135068247</c:v>
                </c:pt>
                <c:pt idx="852">
                  <c:v>-12.334057993837488</c:v>
                </c:pt>
                <c:pt idx="853">
                  <c:v>-12.346214873497246</c:v>
                </c:pt>
                <c:pt idx="854">
                  <c:v>-12.358371774047164</c:v>
                </c:pt>
                <c:pt idx="855">
                  <c:v>-12.37052869548689</c:v>
                </c:pt>
                <c:pt idx="856">
                  <c:v>-12.382685637816069</c:v>
                </c:pt>
                <c:pt idx="857">
                  <c:v>-12.394842601034348</c:v>
                </c:pt>
                <c:pt idx="858">
                  <c:v>-12.406999585141374</c:v>
                </c:pt>
                <c:pt idx="859">
                  <c:v>-12.419156590136792</c:v>
                </c:pt>
                <c:pt idx="860">
                  <c:v>-12.431313616020248</c:v>
                </c:pt>
                <c:pt idx="861">
                  <c:v>-12.443470662791388</c:v>
                </c:pt>
                <c:pt idx="862">
                  <c:v>-12.455627730449857</c:v>
                </c:pt>
                <c:pt idx="863">
                  <c:v>-12.467784818995304</c:v>
                </c:pt>
                <c:pt idx="864">
                  <c:v>-12.479941928427372</c:v>
                </c:pt>
                <c:pt idx="865">
                  <c:v>-12.49209905874571</c:v>
                </c:pt>
                <c:pt idx="866">
                  <c:v>-12.504256209949963</c:v>
                </c:pt>
                <c:pt idx="867">
                  <c:v>-12.516413382039776</c:v>
                </c:pt>
                <c:pt idx="868">
                  <c:v>-12.528570575014797</c:v>
                </c:pt>
                <c:pt idx="869">
                  <c:v>-12.540727788874671</c:v>
                </c:pt>
                <c:pt idx="870">
                  <c:v>-12.552885023619044</c:v>
                </c:pt>
                <c:pt idx="871">
                  <c:v>-12.565042279247564</c:v>
                </c:pt>
                <c:pt idx="872">
                  <c:v>-12.577199555759874</c:v>
                </c:pt>
                <c:pt idx="873">
                  <c:v>-12.589356853155623</c:v>
                </c:pt>
                <c:pt idx="874">
                  <c:v>-12.601514171434456</c:v>
                </c:pt>
                <c:pt idx="875">
                  <c:v>-12.613671510596019</c:v>
                </c:pt>
                <c:pt idx="876">
                  <c:v>-12.625828870639959</c:v>
                </c:pt>
                <c:pt idx="877">
                  <c:v>-12.63798625156592</c:v>
                </c:pt>
                <c:pt idx="878">
                  <c:v>-12.650143653373551</c:v>
                </c:pt>
                <c:pt idx="879">
                  <c:v>-12.662301076062496</c:v>
                </c:pt>
                <c:pt idx="880">
                  <c:v>-12.674458519632402</c:v>
                </c:pt>
                <c:pt idx="881">
                  <c:v>-12.686615984082916</c:v>
                </c:pt>
                <c:pt idx="882">
                  <c:v>-12.698773469413684</c:v>
                </c:pt>
                <c:pt idx="883">
                  <c:v>-12.71093097562435</c:v>
                </c:pt>
                <c:pt idx="884">
                  <c:v>-12.723088502714564</c:v>
                </c:pt>
                <c:pt idx="885">
                  <c:v>-12.735246050683969</c:v>
                </c:pt>
                <c:pt idx="886">
                  <c:v>-12.747403619532212</c:v>
                </c:pt>
                <c:pt idx="887">
                  <c:v>-12.759561209258941</c:v>
                </c:pt>
                <c:pt idx="888">
                  <c:v>-12.771718819863798</c:v>
                </c:pt>
                <c:pt idx="889">
                  <c:v>-12.783876451346433</c:v>
                </c:pt>
                <c:pt idx="890">
                  <c:v>-12.796034103706491</c:v>
                </c:pt>
                <c:pt idx="891">
                  <c:v>-12.808191776943618</c:v>
                </c:pt>
                <c:pt idx="892">
                  <c:v>-12.82034947105746</c:v>
                </c:pt>
                <c:pt idx="893">
                  <c:v>-12.832507186047664</c:v>
                </c:pt>
                <c:pt idx="894">
                  <c:v>-12.844664921913877</c:v>
                </c:pt>
                <c:pt idx="895">
                  <c:v>-12.856822678655744</c:v>
                </c:pt>
                <c:pt idx="896">
                  <c:v>-12.868980456272912</c:v>
                </c:pt>
                <c:pt idx="897">
                  <c:v>-12.881138254765025</c:v>
                </c:pt>
                <c:pt idx="898">
                  <c:v>-12.893296074131731</c:v>
                </c:pt>
                <c:pt idx="899">
                  <c:v>-12.905453914372677</c:v>
                </c:pt>
                <c:pt idx="900">
                  <c:v>-12.917611775487508</c:v>
                </c:pt>
                <c:pt idx="901">
                  <c:v>-12.929769657475871</c:v>
                </c:pt>
                <c:pt idx="902">
                  <c:v>-12.941927560337412</c:v>
                </c:pt>
                <c:pt idx="903">
                  <c:v>-12.954085484071776</c:v>
                </c:pt>
                <c:pt idx="904">
                  <c:v>-12.966243428678611</c:v>
                </c:pt>
                <c:pt idx="905">
                  <c:v>-12.978401394157563</c:v>
                </c:pt>
                <c:pt idx="906">
                  <c:v>-12.990559380508278</c:v>
                </c:pt>
                <c:pt idx="907">
                  <c:v>-13.002717387730401</c:v>
                </c:pt>
                <c:pt idx="908">
                  <c:v>-13.01487541582358</c:v>
                </c:pt>
                <c:pt idx="909">
                  <c:v>-13.027033464787461</c:v>
                </c:pt>
                <c:pt idx="910">
                  <c:v>-13.03919153462169</c:v>
                </c:pt>
                <c:pt idx="911">
                  <c:v>-13.051349625325912</c:v>
                </c:pt>
                <c:pt idx="912">
                  <c:v>-13.063507736899775</c:v>
                </c:pt>
                <c:pt idx="913">
                  <c:v>-13.075665869342924</c:v>
                </c:pt>
                <c:pt idx="914">
                  <c:v>-13.087824022655006</c:v>
                </c:pt>
                <c:pt idx="915">
                  <c:v>-13.099982196835668</c:v>
                </c:pt>
                <c:pt idx="916">
                  <c:v>-13.112140391884557</c:v>
                </c:pt>
                <c:pt idx="917">
                  <c:v>-13.124298607801316</c:v>
                </c:pt>
                <c:pt idx="918">
                  <c:v>-13.136456844585595</c:v>
                </c:pt>
                <c:pt idx="919">
                  <c:v>-13.148615102237038</c:v>
                </c:pt>
                <c:pt idx="920">
                  <c:v>-13.160773380755291</c:v>
                </c:pt>
                <c:pt idx="921">
                  <c:v>-13.172931680140001</c:v>
                </c:pt>
                <c:pt idx="922">
                  <c:v>-13.185090000390815</c:v>
                </c:pt>
                <c:pt idx="923">
                  <c:v>-13.197248341507379</c:v>
                </c:pt>
                <c:pt idx="924">
                  <c:v>-13.209406703489339</c:v>
                </c:pt>
                <c:pt idx="925">
                  <c:v>-13.221565086336341</c:v>
                </c:pt>
                <c:pt idx="926">
                  <c:v>-13.233723490048032</c:v>
                </c:pt>
                <c:pt idx="927">
                  <c:v>-13.245881914624057</c:v>
                </c:pt>
                <c:pt idx="928">
                  <c:v>-13.258040360064065</c:v>
                </c:pt>
                <c:pt idx="929">
                  <c:v>-13.2701988263677</c:v>
                </c:pt>
                <c:pt idx="930">
                  <c:v>-13.282357313534609</c:v>
                </c:pt>
                <c:pt idx="931">
                  <c:v>-13.294515821564438</c:v>
                </c:pt>
                <c:pt idx="932">
                  <c:v>-13.306674350456834</c:v>
                </c:pt>
                <c:pt idx="933">
                  <c:v>-13.318832900211444</c:v>
                </c:pt>
                <c:pt idx="934">
                  <c:v>-13.330991470827913</c:v>
                </c:pt>
                <c:pt idx="935">
                  <c:v>-13.343150062305886</c:v>
                </c:pt>
                <c:pt idx="936">
                  <c:v>-13.355308674645013</c:v>
                </c:pt>
                <c:pt idx="937">
                  <c:v>-13.367467307844937</c:v>
                </c:pt>
                <c:pt idx="938">
                  <c:v>-13.379625961905306</c:v>
                </c:pt>
                <c:pt idx="939">
                  <c:v>-13.391784636825767</c:v>
                </c:pt>
                <c:pt idx="940">
                  <c:v>-13.403943332605966</c:v>
                </c:pt>
                <c:pt idx="941">
                  <c:v>-13.416102049245548</c:v>
                </c:pt>
                <c:pt idx="942">
                  <c:v>-13.428260786744161</c:v>
                </c:pt>
                <c:pt idx="943">
                  <c:v>-13.440419545101451</c:v>
                </c:pt>
                <c:pt idx="944">
                  <c:v>-13.452578324317063</c:v>
                </c:pt>
                <c:pt idx="945">
                  <c:v>-13.464737124390645</c:v>
                </c:pt>
                <c:pt idx="946">
                  <c:v>-13.476895945321843</c:v>
                </c:pt>
                <c:pt idx="947">
                  <c:v>-13.489054787110302</c:v>
                </c:pt>
                <c:pt idx="948">
                  <c:v>-13.50121364975567</c:v>
                </c:pt>
                <c:pt idx="949">
                  <c:v>-13.513372533257593</c:v>
                </c:pt>
                <c:pt idx="950">
                  <c:v>-13.525531437615717</c:v>
                </c:pt>
                <c:pt idx="951">
                  <c:v>-13.537690362829689</c:v>
                </c:pt>
                <c:pt idx="952">
                  <c:v>-13.549849308899155</c:v>
                </c:pt>
                <c:pt idx="953">
                  <c:v>-13.562008275823763</c:v>
                </c:pt>
                <c:pt idx="954">
                  <c:v>-13.574167263603156</c:v>
                </c:pt>
                <c:pt idx="955">
                  <c:v>-13.586326272236983</c:v>
                </c:pt>
                <c:pt idx="956">
                  <c:v>-13.598485301724891</c:v>
                </c:pt>
                <c:pt idx="957">
                  <c:v>-13.610644352066524</c:v>
                </c:pt>
                <c:pt idx="958">
                  <c:v>-13.62280342326153</c:v>
                </c:pt>
                <c:pt idx="959">
                  <c:v>-13.634962515309555</c:v>
                </c:pt>
                <c:pt idx="960">
                  <c:v>-13.647121628210245</c:v>
                </c:pt>
                <c:pt idx="961">
                  <c:v>-13.659280761963247</c:v>
                </c:pt>
                <c:pt idx="962">
                  <c:v>-13.671439916568207</c:v>
                </c:pt>
                <c:pt idx="963">
                  <c:v>-13.683599092024773</c:v>
                </c:pt>
                <c:pt idx="964">
                  <c:v>-13.695758288332589</c:v>
                </c:pt>
                <c:pt idx="965">
                  <c:v>-13.707917505491304</c:v>
                </c:pt>
                <c:pt idx="966">
                  <c:v>-13.720076743500563</c:v>
                </c:pt>
                <c:pt idx="967">
                  <c:v>-13.732236002360011</c:v>
                </c:pt>
                <c:pt idx="968">
                  <c:v>-13.744395282069297</c:v>
                </c:pt>
                <c:pt idx="969">
                  <c:v>-13.756554582628066</c:v>
                </c:pt>
                <c:pt idx="970">
                  <c:v>-13.768713904035966</c:v>
                </c:pt>
                <c:pt idx="971">
                  <c:v>-13.780873246292641</c:v>
                </c:pt>
                <c:pt idx="972">
                  <c:v>-13.79303260939774</c:v>
                </c:pt>
                <c:pt idx="973">
                  <c:v>-13.805191993350908</c:v>
                </c:pt>
                <c:pt idx="974">
                  <c:v>-13.817351398151791</c:v>
                </c:pt>
                <c:pt idx="975">
                  <c:v>-13.829510823800037</c:v>
                </c:pt>
                <c:pt idx="976">
                  <c:v>-13.841670270295291</c:v>
                </c:pt>
                <c:pt idx="977">
                  <c:v>-13.8538297376372</c:v>
                </c:pt>
                <c:pt idx="978">
                  <c:v>-13.865989225825411</c:v>
                </c:pt>
                <c:pt idx="979">
                  <c:v>-13.87814873485957</c:v>
                </c:pt>
                <c:pt idx="980">
                  <c:v>-13.890308264739325</c:v>
                </c:pt>
                <c:pt idx="981">
                  <c:v>-13.90246781546432</c:v>
                </c:pt>
                <c:pt idx="982">
                  <c:v>-13.914627387034203</c:v>
                </c:pt>
                <c:pt idx="983">
                  <c:v>-13.92678697944862</c:v>
                </c:pt>
                <c:pt idx="984">
                  <c:v>-13.938946592707218</c:v>
                </c:pt>
                <c:pt idx="985">
                  <c:v>-13.951106226809642</c:v>
                </c:pt>
                <c:pt idx="986">
                  <c:v>-13.963265881755541</c:v>
                </c:pt>
                <c:pt idx="987">
                  <c:v>-13.975425557544559</c:v>
                </c:pt>
                <c:pt idx="988">
                  <c:v>-13.987585254176345</c:v>
                </c:pt>
                <c:pt idx="989">
                  <c:v>-13.999744971650543</c:v>
                </c:pt>
                <c:pt idx="990">
                  <c:v>-14.011904709966801</c:v>
                </c:pt>
                <c:pt idx="991">
                  <c:v>-14.024064469124765</c:v>
                </c:pt>
                <c:pt idx="992">
                  <c:v>-14.036224249124082</c:v>
                </c:pt>
                <c:pt idx="993">
                  <c:v>-14.048384049964397</c:v>
                </c:pt>
                <c:pt idx="994">
                  <c:v>-14.060543871645359</c:v>
                </c:pt>
                <c:pt idx="995">
                  <c:v>-14.072703714166614</c:v>
                </c:pt>
                <c:pt idx="996">
                  <c:v>-14.084863577527807</c:v>
                </c:pt>
                <c:pt idx="997">
                  <c:v>-14.097023461728586</c:v>
                </c:pt>
                <c:pt idx="998">
                  <c:v>-14.109183366768596</c:v>
                </c:pt>
                <c:pt idx="999">
                  <c:v>-14.121343292647484</c:v>
                </c:pt>
                <c:pt idx="1000">
                  <c:v>-14.133503239364899</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Calculs!$K$4:$K$1004</c:f>
              <c:numCache>
                <c:formatCode>0.00</c:formatCode>
                <c:ptCount val="1001"/>
                <c:pt idx="0">
                  <c:v>0</c:v>
                </c:pt>
                <c:pt idx="1">
                  <c:v>9.5669889931573524E-4</c:v>
                </c:pt>
                <c:pt idx="2">
                  <c:v>7.8147455232856784E-3</c:v>
                </c:pt>
                <c:pt idx="3">
                  <c:v>2.6992684424835094E-2</c:v>
                </c:pt>
                <c:pt idx="4">
                  <c:v>6.0667505481540311E-2</c:v>
                </c:pt>
                <c:pt idx="5">
                  <c:v>0.10833133201655158</c:v>
                </c:pt>
                <c:pt idx="6">
                  <c:v>0.16963037567637684</c:v>
                </c:pt>
                <c:pt idx="7">
                  <c:v>0.24452081130294206</c:v>
                </c:pt>
                <c:pt idx="8">
                  <c:v>0.33311404982606618</c:v>
                </c:pt>
                <c:pt idx="9">
                  <c:v>0.43552155773738688</c:v>
                </c:pt>
                <c:pt idx="10">
                  <c:v>0.55185485461711581</c:v>
                </c:pt>
                <c:pt idx="11">
                  <c:v>0.68220937776239388</c:v>
                </c:pt>
                <c:pt idx="12">
                  <c:v>0.82664829999510614</c:v>
                </c:pt>
                <c:pt idx="13">
                  <c:v>0.98521859103618514</c:v>
                </c:pt>
                <c:pt idx="14">
                  <c:v>1.1579671260518243</c:v>
                </c:pt>
                <c:pt idx="15">
                  <c:v>1.3449406838593987</c:v>
                </c:pt>
                <c:pt idx="16">
                  <c:v>1.5461859451278346</c:v>
                </c:pt>
                <c:pt idx="17">
                  <c:v>1.7617494905725721</c:v>
                </c:pt>
                <c:pt idx="18">
                  <c:v>1.9916777991452683</c:v>
                </c:pt>
                <c:pt idx="19">
                  <c:v>2.2360172462183869</c:v>
                </c:pt>
                <c:pt idx="20">
                  <c:v>2.4948141017648275</c:v>
                </c:pt>
                <c:pt idx="21">
                  <c:v>2.7681080494960266</c:v>
                </c:pt>
                <c:pt idx="22">
                  <c:v>3.0559256875977927</c:v>
                </c:pt>
                <c:pt idx="23">
                  <c:v>3.3582869794392054</c:v>
                </c:pt>
                <c:pt idx="24">
                  <c:v>3.6752117230480756</c:v>
                </c:pt>
                <c:pt idx="25">
                  <c:v>4.006719550019838</c:v>
                </c:pt>
                <c:pt idx="26">
                  <c:v>4.3528151225208758</c:v>
                </c:pt>
                <c:pt idx="27">
                  <c:v>4.7135022929252681</c:v>
                </c:pt>
                <c:pt idx="28">
                  <c:v>5.0887989139176417</c:v>
                </c:pt>
                <c:pt idx="29">
                  <c:v>5.4787226962524684</c:v>
                </c:pt>
                <c:pt idx="30">
                  <c:v>5.8832912166398641</c:v>
                </c:pt>
                <c:pt idx="31">
                  <c:v>6.3025219141642737</c:v>
                </c:pt>
                <c:pt idx="32">
                  <c:v>6.7364320869631626</c:v>
                </c:pt>
                <c:pt idx="33">
                  <c:v>7.1850388891331489</c:v>
                </c:pt>
                <c:pt idx="34">
                  <c:v>7.6483593278361628</c:v>
                </c:pt>
                <c:pt idx="35">
                  <c:v>8.1264102605823965</c:v>
                </c:pt>
                <c:pt idx="36">
                  <c:v>8.6192083926702825</c:v>
                </c:pt>
                <c:pt idx="37">
                  <c:v>9.1267702747665815</c:v>
                </c:pt>
                <c:pt idx="38">
                  <c:v>9.6491123006120247</c:v>
                </c:pt>
                <c:pt idx="39">
                  <c:v>10.186250704839962</c:v>
                </c:pt>
                <c:pt idx="40">
                  <c:v>10.738201560897135</c:v>
                </c:pt>
                <c:pt idx="41">
                  <c:v>11.30497573154603</c:v>
                </c:pt>
                <c:pt idx="42">
                  <c:v>11.886573806987526</c:v>
                </c:pt>
                <c:pt idx="43">
                  <c:v>12.48299113334086</c:v>
                </c:pt>
                <c:pt idx="44">
                  <c:v>13.094222854003295</c:v>
                </c:pt>
                <c:pt idx="45">
                  <c:v>13.720263908657003</c:v>
                </c:pt>
                <c:pt idx="46">
                  <c:v>14.361109032348294</c:v>
                </c:pt>
                <c:pt idx="47">
                  <c:v>15.016752754634005</c:v>
                </c:pt>
                <c:pt idx="48">
                  <c:v>15.687189398790466</c:v>
                </c:pt>
                <c:pt idx="49">
                  <c:v>16.372413081080914</c:v>
                </c:pt>
                <c:pt idx="50">
                  <c:v>17.072417710077747</c:v>
                </c:pt>
                <c:pt idx="51">
                  <c:v>17.787196986036282</c:v>
                </c:pt>
                <c:pt idx="52">
                  <c:v>18.516744400317094</c:v>
                </c:pt>
                <c:pt idx="53">
                  <c:v>19.261053234854291</c:v>
                </c:pt>
                <c:pt idx="54">
                  <c:v>20.020116561667326</c:v>
                </c:pt>
                <c:pt idx="55">
                  <c:v>20.793927242414163</c:v>
                </c:pt>
                <c:pt idx="56">
                  <c:v>21.58247792798387</c:v>
                </c:pt>
                <c:pt idx="57">
                  <c:v>22.385761058126832</c:v>
                </c:pt>
                <c:pt idx="58">
                  <c:v>23.203768861120967</c:v>
                </c:pt>
                <c:pt idx="59">
                  <c:v>24.036493353472483</c:v>
                </c:pt>
                <c:pt idx="60">
                  <c:v>24.883926339649811</c:v>
                </c:pt>
                <c:pt idx="61">
                  <c:v>25.746059411849487</c:v>
                </c:pt>
                <c:pt idx="62">
                  <c:v>26.62288394979284</c:v>
                </c:pt>
                <c:pt idx="63">
                  <c:v>27.514391120552467</c:v>
                </c:pt>
                <c:pt idx="64">
                  <c:v>28.420571878407515</c:v>
                </c:pt>
                <c:pt idx="65">
                  <c:v>29.341416964726893</c:v>
                </c:pt>
                <c:pt idx="66">
                  <c:v>30.276916907879627</c:v>
                </c:pt>
                <c:pt idx="67">
                  <c:v>31.227062023171555</c:v>
                </c:pt>
                <c:pt idx="68">
                  <c:v>32.191842412807688</c:v>
                </c:pt>
                <c:pt idx="69">
                  <c:v>33.171247965879623</c:v>
                </c:pt>
                <c:pt idx="70">
                  <c:v>34.165268358377332</c:v>
                </c:pt>
                <c:pt idx="71">
                  <c:v>35.173893053224816</c:v>
                </c:pt>
                <c:pt idx="72">
                  <c:v>36.197111300339095</c:v>
                </c:pt>
                <c:pt idx="73">
                  <c:v>37.234912136712033</c:v>
                </c:pt>
                <c:pt idx="74">
                  <c:v>38.287284386514528</c:v>
                </c:pt>
                <c:pt idx="75">
                  <c:v>39.354216661222665</c:v>
                </c:pt>
                <c:pt idx="76">
                  <c:v>40.435697359765399</c:v>
                </c:pt>
                <c:pt idx="77">
                  <c:v>41.53171466869339</c:v>
                </c:pt>
                <c:pt idx="78">
                  <c:v>42.642256562368658</c:v>
                </c:pt>
                <c:pt idx="79">
                  <c:v>43.767310803174666</c:v>
                </c:pt>
                <c:pt idx="80">
                  <c:v>44.906864941746555</c:v>
                </c:pt>
                <c:pt idx="81">
                  <c:v>46.060901173973988</c:v>
                </c:pt>
                <c:pt idx="82">
                  <c:v>47.229391188020493</c:v>
                </c:pt>
                <c:pt idx="83">
                  <c:v>48.41230129613966</c:v>
                </c:pt>
                <c:pt idx="84">
                  <c:v>49.609597576989934</c:v>
                </c:pt>
                <c:pt idx="85">
                  <c:v>50.821245876915398</c:v>
                </c:pt>
                <c:pt idx="86">
                  <c:v>52.047211811247202</c:v>
                </c:pt>
                <c:pt idx="87">
                  <c:v>53.287460765625205</c:v>
                </c:pt>
                <c:pt idx="88">
                  <c:v>54.541957897339366</c:v>
                </c:pt>
                <c:pt idx="89">
                  <c:v>55.810668136690488</c:v>
                </c:pt>
                <c:pt idx="90">
                  <c:v>57.093556188369924</c:v>
                </c:pt>
                <c:pt idx="91">
                  <c:v>58.390584258023168</c:v>
                </c:pt>
                <c:pt idx="92">
                  <c:v>59.701709774842016</c:v>
                </c:pt>
                <c:pt idx="93">
                  <c:v>61.026887663502151</c:v>
                </c:pt>
                <c:pt idx="94">
                  <c:v>62.366072620338954</c:v>
                </c:pt>
                <c:pt idx="95">
                  <c:v>63.719219115278584</c:v>
                </c:pt>
                <c:pt idx="96">
                  <c:v>65.086281393785441</c:v>
                </c:pt>
                <c:pt idx="97">
                  <c:v>66.467213478825656</c:v>
                </c:pt>
                <c:pt idx="98">
                  <c:v>67.861969172846131</c:v>
                </c:pt>
                <c:pt idx="99">
                  <c:v>69.27050205976866</c:v>
                </c:pt>
                <c:pt idx="100">
                  <c:v>70.692765506998754</c:v>
                </c:pt>
                <c:pt idx="101">
                  <c:v>72.128712303204182</c:v>
                </c:pt>
                <c:pt idx="102">
                  <c:v>73.578294295543742</c:v>
                </c:pt>
                <c:pt idx="103">
                  <c:v>75.041462755411374</c:v>
                </c:pt>
                <c:pt idx="104">
                  <c:v>76.518168744794778</c:v>
                </c:pt>
                <c:pt idx="105">
                  <c:v>78.00836311842717</c:v>
                </c:pt>
                <c:pt idx="106">
                  <c:v>79.511996525951048</c:v>
                </c:pt>
                <c:pt idx="107">
                  <c:v>81.029019414093682</c:v>
                </c:pt>
                <c:pt idx="108">
                  <c:v>82.559382028853761</c:v>
                </c:pt>
                <c:pt idx="109">
                  <c:v>84.10303441769895</c:v>
                </c:pt>
                <c:pt idx="110">
                  <c:v>85.659926431773883</c:v>
                </c:pt>
                <c:pt idx="111">
                  <c:v>87.23001192631898</c:v>
                </c:pt>
                <c:pt idx="112">
                  <c:v>88.813252966740635</c:v>
                </c:pt>
                <c:pt idx="113">
                  <c:v>90.409615637399767</c:v>
                </c:pt>
                <c:pt idx="114">
                  <c:v>92.01906584435514</c:v>
                </c:pt>
                <c:pt idx="115">
                  <c:v>93.64156931679392</c:v>
                </c:pt>
                <c:pt idx="116">
                  <c:v>95.277091608472546</c:v>
                </c:pt>
                <c:pt idx="117">
                  <c:v>96.925598099167672</c:v>
                </c:pt>
                <c:pt idx="118">
                  <c:v>98.587053996136902</c:v>
                </c:pt>
                <c:pt idx="119">
                  <c:v>100.26142433558914</c:v>
                </c:pt>
                <c:pt idx="120">
                  <c:v>101.94867398416433</c:v>
                </c:pt>
                <c:pt idx="121">
                  <c:v>103.64876066985023</c:v>
                </c:pt>
                <c:pt idx="122">
                  <c:v>105.3616280047659</c:v>
                </c:pt>
                <c:pt idx="123">
                  <c:v>107.08721245174156</c:v>
                </c:pt>
                <c:pt idx="124">
                  <c:v>108.8254502997507</c:v>
                </c:pt>
                <c:pt idx="125">
                  <c:v>110.57627766683351</c:v>
                </c:pt>
                <c:pt idx="126">
                  <c:v>112.33963050302273</c:v>
                </c:pt>
                <c:pt idx="127">
                  <c:v>114.11544459327139</c:v>
                </c:pt>
                <c:pt idx="128">
                  <c:v>115.90365556038202</c:v>
                </c:pt>
                <c:pt idx="129">
                  <c:v>117.70419886793688</c:v>
                </c:pt>
                <c:pt idx="130">
                  <c:v>119.51700982322879</c:v>
                </c:pt>
                <c:pt idx="131">
                  <c:v>121.34202175337278</c:v>
                </c:pt>
                <c:pt idx="132">
                  <c:v>123.17916417971402</c:v>
                </c:pt>
                <c:pt idx="133">
                  <c:v>125.0283646469301</c:v>
                </c:pt>
                <c:pt idx="134">
                  <c:v>126.88955055403305</c:v>
                </c:pt>
                <c:pt idx="135">
                  <c:v>128.76264915769033</c:v>
                </c:pt>
                <c:pt idx="136">
                  <c:v>130.64758757554105</c:v>
                </c:pt>
                <c:pt idx="137">
                  <c:v>132.5442927895073</c:v>
                </c:pt>
                <c:pt idx="138">
                  <c:v>134.45269164909971</c:v>
                </c:pt>
                <c:pt idx="139">
                  <c:v>136.37271087471717</c:v>
                </c:pt>
                <c:pt idx="140">
                  <c:v>138.30427706094005</c:v>
                </c:pt>
                <c:pt idx="141">
                  <c:v>140.24729481493463</c:v>
                </c:pt>
                <c:pt idx="142">
                  <c:v>142.20162488015424</c:v>
                </c:pt>
                <c:pt idx="143">
                  <c:v>144.16710600725878</c:v>
                </c:pt>
                <c:pt idx="144">
                  <c:v>146.14357684261009</c:v>
                </c:pt>
                <c:pt idx="145">
                  <c:v>148.13087593727192</c:v>
                </c:pt>
                <c:pt idx="146">
                  <c:v>150.12884175594004</c:v>
                </c:pt>
                <c:pt idx="147">
                  <c:v>152.13731268580099</c:v>
                </c:pt>
                <c:pt idx="148">
                  <c:v>154.15612704531819</c:v>
                </c:pt>
                <c:pt idx="149">
                  <c:v>156.18512309294394</c:v>
                </c:pt>
                <c:pt idx="150">
                  <c:v>158.22413903575611</c:v>
                </c:pt>
                <c:pt idx="151">
                  <c:v>160.27301303801812</c:v>
                </c:pt>
                <c:pt idx="152">
                  <c:v>162.33158322966094</c:v>
                </c:pt>
                <c:pt idx="153">
                  <c:v>164.39968771468605</c:v>
                </c:pt>
                <c:pt idx="154">
                  <c:v>166.47716457948809</c:v>
                </c:pt>
                <c:pt idx="155">
                  <c:v>168.56385190109609</c:v>
                </c:pt>
                <c:pt idx="156">
                  <c:v>170.65948406873861</c:v>
                </c:pt>
                <c:pt idx="157">
                  <c:v>172.76358810997405</c:v>
                </c:pt>
                <c:pt idx="158">
                  <c:v>174.87558752968414</c:v>
                </c:pt>
                <c:pt idx="159">
                  <c:v>176.99490617163832</c:v>
                </c:pt>
                <c:pt idx="160">
                  <c:v>179.1209682804064</c:v>
                </c:pt>
                <c:pt idx="161">
                  <c:v>181.25306670071873</c:v>
                </c:pt>
                <c:pt idx="162">
                  <c:v>183.39023118914014</c:v>
                </c:pt>
                <c:pt idx="163">
                  <c:v>185.53137327724281</c:v>
                </c:pt>
                <c:pt idx="164">
                  <c:v>187.67543107044997</c:v>
                </c:pt>
                <c:pt idx="165">
                  <c:v>189.82148279423609</c:v>
                </c:pt>
                <c:pt idx="166">
                  <c:v>191.96886013002424</c:v>
                </c:pt>
                <c:pt idx="167">
                  <c:v>194.11692611771124</c:v>
                </c:pt>
                <c:pt idx="168">
                  <c:v>196.26492268820803</c:v>
                </c:pt>
                <c:pt idx="169">
                  <c:v>198.41186894639603</c:v>
                </c:pt>
                <c:pt idx="170">
                  <c:v>200.5565290609434</c:v>
                </c:pt>
                <c:pt idx="171">
                  <c:v>202.69803915135117</c:v>
                </c:pt>
                <c:pt idx="172">
                  <c:v>204.83618618955552</c:v>
                </c:pt>
                <c:pt idx="173">
                  <c:v>206.97097811692322</c:v>
                </c:pt>
                <c:pt idx="174">
                  <c:v>209.10242284155143</c:v>
                </c:pt>
                <c:pt idx="175">
                  <c:v>211.23052823845293</c:v>
                </c:pt>
                <c:pt idx="176">
                  <c:v>213.35530214974031</c:v>
                </c:pt>
                <c:pt idx="177">
                  <c:v>215.47675238480855</c:v>
                </c:pt>
                <c:pt idx="178">
                  <c:v>217.5948867205166</c:v>
                </c:pt>
                <c:pt idx="179">
                  <c:v>219.70971290136751</c:v>
                </c:pt>
                <c:pt idx="180">
                  <c:v>221.82123863968746</c:v>
                </c:pt>
                <c:pt idx="181">
                  <c:v>223.92947161580332</c:v>
                </c:pt>
                <c:pt idx="182">
                  <c:v>226.03441947821921</c:v>
                </c:pt>
                <c:pt idx="183">
                  <c:v>228.13608984379167</c:v>
                </c:pt>
                <c:pt idx="184">
                  <c:v>230.23449029790373</c:v>
                </c:pt>
                <c:pt idx="185">
                  <c:v>232.32962839463764</c:v>
                </c:pt>
                <c:pt idx="186">
                  <c:v>234.42151165694651</c:v>
                </c:pt>
                <c:pt idx="187">
                  <c:v>236.51014757682478</c:v>
                </c:pt>
                <c:pt idx="188">
                  <c:v>238.59554361547742</c:v>
                </c:pt>
                <c:pt idx="189">
                  <c:v>240.67770720348804</c:v>
                </c:pt>
                <c:pt idx="190">
                  <c:v>242.75664574098573</c:v>
                </c:pt>
                <c:pt idx="191">
                  <c:v>244.83236659781096</c:v>
                </c:pt>
                <c:pt idx="192">
                  <c:v>246.90487711368016</c:v>
                </c:pt>
                <c:pt idx="193">
                  <c:v>248.97418459834918</c:v>
                </c:pt>
                <c:pt idx="194">
                  <c:v>251.04029633177583</c:v>
                </c:pt>
                <c:pt idx="195">
                  <c:v>253.10321956428098</c:v>
                </c:pt>
                <c:pt idx="196">
                  <c:v>255.16296151670886</c:v>
                </c:pt>
                <c:pt idx="197">
                  <c:v>257.21952938058615</c:v>
                </c:pt>
                <c:pt idx="198">
                  <c:v>259.27293031827998</c:v>
                </c:pt>
                <c:pt idx="199">
                  <c:v>261.32317146315472</c:v>
                </c:pt>
                <c:pt idx="200">
                  <c:v>263.37025991972808</c:v>
                </c:pt>
                <c:pt idx="201">
                  <c:v>283.66829468346327</c:v>
                </c:pt>
                <c:pt idx="202">
                  <c:v>303.65560741061989</c:v>
                </c:pt>
                <c:pt idx="203">
                  <c:v>323.33903236373135</c:v>
                </c:pt>
                <c:pt idx="204">
                  <c:v>342.72513496630921</c:v>
                </c:pt>
                <c:pt idx="205">
                  <c:v>361.82022568921786</c:v>
                </c:pt>
                <c:pt idx="206">
                  <c:v>380.63037304105472</c:v>
                </c:pt>
                <c:pt idx="207">
                  <c:v>399.16141573136991</c:v>
                </c:pt>
                <c:pt idx="208">
                  <c:v>417.41897406944025</c:v>
                </c:pt>
                <c:pt idx="209">
                  <c:v>435.40846065581081</c:v>
                </c:pt>
                <c:pt idx="210">
                  <c:v>453.1350904188613</c:v>
                </c:pt>
                <c:pt idx="211">
                  <c:v>470.6038900441842</c:v>
                </c:pt>
                <c:pt idx="212">
                  <c:v>487.81970684052635</c:v>
                </c:pt>
                <c:pt idx="213">
                  <c:v>504.78721708239391</c:v>
                </c:pt>
                <c:pt idx="214">
                  <c:v>521.51093386611592</c:v>
                </c:pt>
                <c:pt idx="215">
                  <c:v>537.99521451316571</c:v>
                </c:pt>
                <c:pt idx="216">
                  <c:v>554.24426755181798</c:v>
                </c:pt>
                <c:pt idx="217">
                  <c:v>570.26215930574847</c:v>
                </c:pt>
                <c:pt idx="218">
                  <c:v>586.05282011593454</c:v>
                </c:pt>
                <c:pt idx="219">
                  <c:v>601.62005022016444</c:v>
                </c:pt>
                <c:pt idx="220">
                  <c:v>616.96752531259722</c:v>
                </c:pt>
                <c:pt idx="221">
                  <c:v>632.09880180410789</c:v>
                </c:pt>
                <c:pt idx="222">
                  <c:v>647.01732180259648</c:v>
                </c:pt>
                <c:pt idx="223">
                  <c:v>661.72641783101085</c:v>
                </c:pt>
                <c:pt idx="224">
                  <c:v>676.22931729953143</c:v>
                </c:pt>
                <c:pt idx="225">
                  <c:v>690.52914674716646</c:v>
                </c:pt>
                <c:pt idx="226">
                  <c:v>704.62893586691018</c:v>
                </c:pt>
                <c:pt idx="227">
                  <c:v>718.53162132760872</c:v>
                </c:pt>
                <c:pt idx="228">
                  <c:v>732.24005040475038</c:v>
                </c:pt>
                <c:pt idx="229">
                  <c:v>745.75698443154556</c:v>
                </c:pt>
                <c:pt idx="230">
                  <c:v>759.08510208087625</c:v>
                </c:pt>
                <c:pt idx="231">
                  <c:v>772.22700248797207</c:v>
                </c:pt>
                <c:pt idx="232">
                  <c:v>785.18520822300138</c:v>
                </c:pt>
                <c:pt idx="233">
                  <c:v>797.96216812215118</c:v>
                </c:pt>
                <c:pt idx="234">
                  <c:v>810.56025998519976</c:v>
                </c:pt>
                <c:pt idx="235">
                  <c:v>822.98179314705976</c:v>
                </c:pt>
                <c:pt idx="236">
                  <c:v>835.22901093028247</c:v>
                </c:pt>
                <c:pt idx="237">
                  <c:v>847.30409298506368</c:v>
                </c:pt>
                <c:pt idx="238">
                  <c:v>859.20915752287192</c:v>
                </c:pt>
                <c:pt idx="239">
                  <c:v>870.94626344943447</c:v>
                </c:pt>
                <c:pt idx="240">
                  <c:v>882.51741240245531</c:v>
                </c:pt>
                <c:pt idx="241">
                  <c:v>893.92455069910454</c:v>
                </c:pt>
                <c:pt idx="242">
                  <c:v>905.169571198011</c:v>
                </c:pt>
                <c:pt idx="243">
                  <c:v>916.25431508019699</c:v>
                </c:pt>
                <c:pt idx="244">
                  <c:v>927.18057355312931</c:v>
                </c:pt>
                <c:pt idx="245">
                  <c:v>937.95008948180725</c:v>
                </c:pt>
                <c:pt idx="246">
                  <c:v>948.56455895057707</c:v>
                </c:pt>
                <c:pt idx="247">
                  <c:v>959.02563275914395</c:v>
                </c:pt>
                <c:pt idx="248">
                  <c:v>969.33491785604974</c:v>
                </c:pt>
                <c:pt idx="249">
                  <c:v>979.49397871269559</c:v>
                </c:pt>
                <c:pt idx="250">
                  <c:v>989.5043386408114</c:v>
                </c:pt>
                <c:pt idx="251">
                  <c:v>999.36748105610877</c:v>
                </c:pt>
                <c:pt idx="252">
                  <c:v>1009.0848506906991</c:v>
                </c:pt>
                <c:pt idx="253">
                  <c:v>1018.6578547567143</c:v>
                </c:pt>
                <c:pt idx="254">
                  <c:v>1028.0878640634319</c:v>
                </c:pt>
                <c:pt idx="255">
                  <c:v>1037.3762140900787</c:v>
                </c:pt>
                <c:pt idx="256">
                  <c:v>1046.5242060163703</c:v>
                </c:pt>
                <c:pt idx="257">
                  <c:v>1055.5331077127275</c:v>
                </c:pt>
                <c:pt idx="258">
                  <c:v>1064.4041546920148</c:v>
                </c:pt>
                <c:pt idx="259">
                  <c:v>1073.1385510245357</c:v>
                </c:pt>
                <c:pt idx="260">
                  <c:v>1081.7374702179393</c:v>
                </c:pt>
                <c:pt idx="261">
                  <c:v>1090.2020560635988</c:v>
                </c:pt>
                <c:pt idx="262">
                  <c:v>1098.5334234509421</c:v>
                </c:pt>
                <c:pt idx="263">
                  <c:v>1106.732659151141</c:v>
                </c:pt>
                <c:pt idx="264">
                  <c:v>1114.80082257149</c:v>
                </c:pt>
                <c:pt idx="265">
                  <c:v>1122.7389464817406</c:v>
                </c:pt>
                <c:pt idx="266">
                  <c:v>1130.5480377135914</c:v>
                </c:pt>
                <c:pt idx="267">
                  <c:v>1138.2290778344752</c:v>
                </c:pt>
                <c:pt idx="268">
                  <c:v>1145.7830237967282</c:v>
                </c:pt>
                <c:pt idx="269">
                  <c:v>1153.2108085631705</c:v>
                </c:pt>
                <c:pt idx="270">
                  <c:v>1160.5133417100819</c:v>
                </c:pt>
                <c:pt idx="271">
                  <c:v>1167.6915100085039</c:v>
                </c:pt>
                <c:pt idx="272">
                  <c:v>1174.7461779847579</c:v>
                </c:pt>
                <c:pt idx="273">
                  <c:v>1181.6781884610273</c:v>
                </c:pt>
                <c:pt idx="274">
                  <c:v>1188.4883630768104</c:v>
                </c:pt>
                <c:pt idx="275">
                  <c:v>1195.1775027920141</c:v>
                </c:pt>
                <c:pt idx="276">
                  <c:v>1201.7463883724231</c:v>
                </c:pt>
                <c:pt idx="277">
                  <c:v>1208.1957808582474</c:v>
                </c:pt>
                <c:pt idx="278">
                  <c:v>1214.5264220164181</c:v>
                </c:pt>
                <c:pt idx="279">
                  <c:v>1220.739034777273</c:v>
                </c:pt>
                <c:pt idx="280">
                  <c:v>1226.8343236562464</c:v>
                </c:pt>
                <c:pt idx="281">
                  <c:v>1232.8129751611496</c:v>
                </c:pt>
                <c:pt idx="282">
                  <c:v>1238.6756581856084</c:v>
                </c:pt>
                <c:pt idx="283">
                  <c:v>1244.4230243891961</c:v>
                </c:pt>
                <c:pt idx="284">
                  <c:v>1250.0557085647838</c:v>
                </c:pt>
                <c:pt idx="285">
                  <c:v>1255.5743289936074</c:v>
                </c:pt>
                <c:pt idx="286">
                  <c:v>1260.9794877885349</c:v>
                </c:pt>
                <c:pt idx="287">
                  <c:v>1266.2717712259966</c:v>
                </c:pt>
                <c:pt idx="288">
                  <c:v>1271.4517500670313</c:v>
                </c:pt>
                <c:pt idx="289">
                  <c:v>1276.5199798678821</c:v>
                </c:pt>
                <c:pt idx="290">
                  <c:v>1281.4770012805673</c:v>
                </c:pt>
                <c:pt idx="291">
                  <c:v>1286.3233403438369</c:v>
                </c:pt>
                <c:pt idx="292">
                  <c:v>1291.0595087649178</c:v>
                </c:pt>
                <c:pt idx="293">
                  <c:v>1295.6860041924433</c:v>
                </c:pt>
                <c:pt idx="294">
                  <c:v>1300.2033104809532</c:v>
                </c:pt>
                <c:pt idx="295">
                  <c:v>1304.6118979473474</c:v>
                </c:pt>
                <c:pt idx="296">
                  <c:v>1308.9122236196747</c:v>
                </c:pt>
                <c:pt idx="297">
                  <c:v>1313.1047314786308</c:v>
                </c:pt>
                <c:pt idx="298">
                  <c:v>1317.1898526921482</c:v>
                </c:pt>
                <c:pt idx="299">
                  <c:v>1321.1680058434563</c:v>
                </c:pt>
                <c:pt idx="300">
                  <c:v>1325.0395971529981</c:v>
                </c:pt>
                <c:pt idx="301">
                  <c:v>1328.8050206945975</c:v>
                </c:pt>
                <c:pt idx="302">
                  <c:v>1332.4646586062788</c:v>
                </c:pt>
                <c:pt idx="303">
                  <c:v>1336.0188812961553</c:v>
                </c:pt>
                <c:pt idx="304">
                  <c:v>1339.4680476438182</c:v>
                </c:pt>
                <c:pt idx="305">
                  <c:v>1342.8125051976776</c:v>
                </c:pt>
                <c:pt idx="306">
                  <c:v>1346.0525903687308</c:v>
                </c:pt>
                <c:pt idx="307">
                  <c:v>1349.1886286212577</c:v>
                </c:pt>
                <c:pt idx="308">
                  <c:v>1352.2209346609814</c:v>
                </c:pt>
                <c:pt idx="309">
                  <c:v>1355.1498126212621</c:v>
                </c:pt>
                <c:pt idx="310">
                  <c:v>1357.9755562479399</c:v>
                </c:pt>
                <c:pt idx="311">
                  <c:v>1360.6984490834884</c:v>
                </c:pt>
                <c:pt idx="312">
                  <c:v>1363.3187646511931</c:v>
                </c:pt>
                <c:pt idx="313">
                  <c:v>1365.8367666401339</c:v>
                </c:pt>
                <c:pt idx="314">
                  <c:v>1368.2527090918122</c:v>
                </c:pt>
                <c:pt idx="315">
                  <c:v>1370.5668365893418</c:v>
                </c:pt>
                <c:pt idx="316">
                  <c:v>1372.7793844501955</c:v>
                </c:pt>
                <c:pt idx="317">
                  <c:v>1374.890578923591</c:v>
                </c:pt>
                <c:pt idx="318">
                  <c:v>1376.9006373936827</c:v>
                </c:pt>
                <c:pt idx="319">
                  <c:v>1378.809768589821</c:v>
                </c:pt>
                <c:pt idx="320">
                  <c:v>1380.6181728052304</c:v>
                </c:pt>
                <c:pt idx="321">
                  <c:v>1382.3260421255441</c:v>
                </c:pt>
                <c:pt idx="322">
                  <c:v>1383.9335606687193</c:v>
                </c:pt>
                <c:pt idx="323">
                  <c:v>1385.4409048379175</c:v>
                </c:pt>
                <c:pt idx="324">
                  <c:v>1386.8482435889823</c:v>
                </c:pt>
                <c:pt idx="325">
                  <c:v>1388.1557387141709</c:v>
                </c:pt>
                <c:pt idx="326">
                  <c:v>1389.3635451437672</c:v>
                </c:pt>
                <c:pt idx="327">
                  <c:v>1390.4718112671424</c:v>
                </c:pt>
                <c:pt idx="328">
                  <c:v>1391.4806792746976</c:v>
                </c:pt>
                <c:pt idx="329">
                  <c:v>1392.390285521928</c:v>
                </c:pt>
                <c:pt idx="330">
                  <c:v>1393.2007609165682</c:v>
                </c:pt>
                <c:pt idx="331">
                  <c:v>1393.9122313294231</c:v>
                </c:pt>
                <c:pt idx="332">
                  <c:v>1394.5248180290334</c:v>
                </c:pt>
                <c:pt idx="333">
                  <c:v>1395.0386381398002</c:v>
                </c:pt>
                <c:pt idx="334">
                  <c:v>1395.4538051225873</c:v>
                </c:pt>
                <c:pt idx="335">
                  <c:v>1395.7704292761664</c:v>
                </c:pt>
                <c:pt idx="336">
                  <c:v>1395.9886182571956</c:v>
                </c:pt>
                <c:pt idx="337">
                  <c:v>1396.1084776157461</c:v>
                </c:pt>
                <c:pt idx="338">
                  <c:v>1396.1301113427789</c:v>
                </c:pt>
                <c:pt idx="339">
                  <c:v>1396.0536224254402</c:v>
                </c:pt>
                <c:pt idx="340">
                  <c:v>1395.8791134056396</c:v>
                </c:pt>
                <c:pt idx="341">
                  <c:v>1395.6066869371339</c:v>
                </c:pt>
                <c:pt idx="342">
                  <c:v>1395.236446336261</c:v>
                </c:pt>
                <c:pt idx="343">
                  <c:v>1394.7684961215878</c:v>
                </c:pt>
                <c:pt idx="344">
                  <c:v>1394.2029425380147</c:v>
                </c:pt>
                <c:pt idx="345">
                  <c:v>1393.5398940613209</c:v>
                </c:pt>
                <c:pt idx="346">
                  <c:v>1392.7794618796868</c:v>
                </c:pt>
                <c:pt idx="347">
                  <c:v>1391.9217603493701</c:v>
                </c:pt>
                <c:pt idx="348">
                  <c:v>1390.9669074223887</c:v>
                </c:pt>
                <c:pt idx="349">
                  <c:v>1389.915025044744</c:v>
                </c:pt>
                <c:pt idx="350">
                  <c:v>1388.7662395243651</c:v>
                </c:pt>
                <c:pt idx="351">
                  <c:v>1387.5206818685447</c:v>
                </c:pt>
                <c:pt idx="352">
                  <c:v>1386.1784880911496</c:v>
                </c:pt>
                <c:pt idx="353">
                  <c:v>1384.739799490321</c:v>
                </c:pt>
                <c:pt idx="354">
                  <c:v>1383.204762897713</c:v>
                </c:pt>
                <c:pt idx="355">
                  <c:v>1381.5735309005772</c:v>
                </c:pt>
                <c:pt idx="356">
                  <c:v>1379.8462620381754</c:v>
                </c:pt>
                <c:pt idx="357">
                  <c:v>1378.0231209741062</c:v>
                </c:pt>
                <c:pt idx="358">
                  <c:v>1376.1042786461874</c:v>
                </c:pt>
                <c:pt idx="359">
                  <c:v>1374.0899123955319</c:v>
                </c:pt>
                <c:pt idx="360">
                  <c:v>1371.9802060764262</c:v>
                </c:pt>
                <c:pt idx="361">
                  <c:v>1369.7753501485574</c:v>
                </c:pt>
                <c:pt idx="362">
                  <c:v>1367.4755417530591</c:v>
                </c:pt>
                <c:pt idx="363">
                  <c:v>1365.0809847737514</c:v>
                </c:pt>
                <c:pt idx="364">
                  <c:v>1362.5918898848577</c:v>
                </c:pt>
                <c:pt idx="365">
                  <c:v>1360.0084745863792</c:v>
                </c:pt>
                <c:pt idx="366">
                  <c:v>1357.330963228211</c:v>
                </c:pt>
                <c:pt idx="367">
                  <c:v>1354.559587023987</c:v>
                </c:pt>
                <c:pt idx="368">
                  <c:v>1351.6945840555527</c:v>
                </c:pt>
                <c:pt idx="369">
                  <c:v>1348.7361992688786</c:v>
                </c:pt>
                <c:pt idx="370">
                  <c:v>1345.68468446215</c:v>
                </c:pt>
                <c:pt idx="371">
                  <c:v>1342.5402982666967</c:v>
                </c:pt>
                <c:pt idx="372">
                  <c:v>1339.3033061213591</c:v>
                </c:pt>
                <c:pt idx="373">
                  <c:v>1335.973980240831</c:v>
                </c:pt>
                <c:pt idx="374">
                  <c:v>1332.5525995784622</c:v>
                </c:pt>
                <c:pt idx="375">
                  <c:v>1329.0394497839613</c:v>
                </c:pt>
                <c:pt idx="376">
                  <c:v>1325.4348231563897</c:v>
                </c:pt>
                <c:pt idx="377">
                  <c:v>1321.7390185928043</c:v>
                </c:pt>
                <c:pt idx="378">
                  <c:v>1317.9523415328724</c:v>
                </c:pt>
                <c:pt idx="379">
                  <c:v>1314.0751038997478</c:v>
                </c:pt>
                <c:pt idx="380">
                  <c:v>1310.1076240374753</c:v>
                </c:pt>
                <c:pt idx="381">
                  <c:v>1306.0502266451642</c:v>
                </c:pt>
                <c:pt idx="382">
                  <c:v>1301.9032427081509</c:v>
                </c:pt>
                <c:pt idx="383">
                  <c:v>1297.6670094263507</c:v>
                </c:pt>
                <c:pt idx="384">
                  <c:v>1293.3418701399867</c:v>
                </c:pt>
                <c:pt idx="385">
                  <c:v>1288.9281742528628</c:v>
                </c:pt>
                <c:pt idx="386">
                  <c:v>1284.4262771533404</c:v>
                </c:pt>
                <c:pt idx="387">
                  <c:v>1279.8365401331619</c:v>
                </c:pt>
                <c:pt idx="388">
                  <c:v>1275.1593303042605</c:v>
                </c:pt>
                <c:pt idx="389">
                  <c:v>1270.3950205136782</c:v>
                </c:pt>
                <c:pt idx="390">
                  <c:v>1265.543989256714</c:v>
                </c:pt>
                <c:pt idx="391">
                  <c:v>1260.6066205884108</c:v>
                </c:pt>
                <c:pt idx="392">
                  <c:v>1255.5833040334887</c:v>
                </c:pt>
                <c:pt idx="393">
                  <c:v>1250.4744344948208</c:v>
                </c:pt>
                <c:pt idx="394">
                  <c:v>1245.280412160547</c:v>
                </c:pt>
                <c:pt idx="395">
                  <c:v>1240.0016424099165</c:v>
                </c:pt>
                <c:pt idx="396">
                  <c:v>1234.6385357179413</c:v>
                </c:pt>
                <c:pt idx="397">
                  <c:v>1229.1915075589454</c:v>
                </c:pt>
                <c:pt idx="398">
                  <c:v>1223.660978309086</c:v>
                </c:pt>
                <c:pt idx="399">
                  <c:v>1218.0473731479221</c:v>
                </c:pt>
                <c:pt idx="400">
                  <c:v>1212.3511219591055</c:v>
                </c:pt>
                <c:pt idx="401">
                  <c:v>1206.5726592302601</c:v>
                </c:pt>
                <c:pt idx="402">
                  <c:v>1200.7124239521208</c:v>
                </c:pt>
                <c:pt idx="403">
                  <c:v>1194.7708595169963</c:v>
                </c:pt>
                <c:pt idx="404">
                  <c:v>1188.7484136166188</c:v>
                </c:pt>
                <c:pt idx="405">
                  <c:v>1182.6455381394435</c:v>
                </c:pt>
                <c:pt idx="406">
                  <c:v>1176.4626890674579</c:v>
                </c:pt>
                <c:pt idx="407">
                  <c:v>1170.2003263725594</c:v>
                </c:pt>
                <c:pt idx="408">
                  <c:v>1163.8589139125584</c:v>
                </c:pt>
                <c:pt idx="409">
                  <c:v>1157.4389193268619</c:v>
                </c:pt>
                <c:pt idx="410">
                  <c:v>1150.9408139318939</c:v>
                </c:pt>
                <c:pt idx="411">
                  <c:v>1144.3650726163041</c:v>
                </c:pt>
                <c:pt idx="412">
                  <c:v>1137.7121737360169</c:v>
                </c:pt>
                <c:pt idx="413">
                  <c:v>1130.9825990091726</c:v>
                </c:pt>
                <c:pt idx="414">
                  <c:v>1124.17683341101</c:v>
                </c:pt>
                <c:pt idx="415">
                  <c:v>1117.2953650687382</c:v>
                </c:pt>
                <c:pt idx="416">
                  <c:v>1110.3386851564458</c:v>
                </c:pt>
                <c:pt idx="417">
                  <c:v>1103.3072877900947</c:v>
                </c:pt>
                <c:pt idx="418">
                  <c:v>1096.2016699226424</c:v>
                </c:pt>
                <c:pt idx="419">
                  <c:v>1089.022331239338</c:v>
                </c:pt>
                <c:pt idx="420">
                  <c:v>1081.7697740532362</c:v>
                </c:pt>
                <c:pt idx="421">
                  <c:v>1074.4445032009703</c:v>
                </c:pt>
                <c:pt idx="422">
                  <c:v>1067.0470259388267</c:v>
                </c:pt>
                <c:pt idx="423">
                  <c:v>1059.5778518391612</c:v>
                </c:pt>
                <c:pt idx="424">
                  <c:v>1052.0374926871973</c:v>
                </c:pt>
                <c:pt idx="425">
                  <c:v>1044.4264623782433</c:v>
                </c:pt>
                <c:pt idx="426">
                  <c:v>1036.7452768153694</c:v>
                </c:pt>
                <c:pt idx="427">
                  <c:v>1028.9944538075777</c:v>
                </c:pt>
                <c:pt idx="428">
                  <c:v>1021.1745129685039</c:v>
                </c:pt>
                <c:pt idx="429">
                  <c:v>1013.2859756156847</c:v>
                </c:pt>
                <c:pt idx="430">
                  <c:v>1005.3293646704241</c:v>
                </c:pt>
                <c:pt idx="431">
                  <c:v>997.30520455829333</c:v>
                </c:pt>
                <c:pt idx="432">
                  <c:v>989.21402111029545</c:v>
                </c:pt>
                <c:pt idx="433">
                  <c:v>981.05634146472607</c:v>
                </c:pt>
                <c:pt idx="434">
                  <c:v>972.83269396976141</c:v>
                </c:pt>
                <c:pt idx="435">
                  <c:v>964.54360808680133</c:v>
                </c:pt>
                <c:pt idx="436">
                  <c:v>956.18961429459819</c:v>
                </c:pt>
                <c:pt idx="437">
                  <c:v>947.77124399419688</c:v>
                </c:pt>
                <c:pt idx="438">
                  <c:v>939.28902941471461</c:v>
                </c:pt>
                <c:pt idx="439">
                  <c:v>930.74350351998487</c:v>
                </c:pt>
                <c:pt idx="440">
                  <c:v>922.13519991609132</c:v>
                </c:pt>
                <c:pt idx="441">
                  <c:v>913.46465275981507</c:v>
                </c:pt>
                <c:pt idx="442">
                  <c:v>904.73239666801874</c:v>
                </c:pt>
                <c:pt idx="443">
                  <c:v>895.9389666279892</c:v>
                </c:pt>
                <c:pt idx="444">
                  <c:v>887.08489790876069</c:v>
                </c:pt>
                <c:pt idx="445">
                  <c:v>878.17072597343838</c:v>
                </c:pt>
                <c:pt idx="446">
                  <c:v>869.19698639254204</c:v>
                </c:pt>
                <c:pt idx="447">
                  <c:v>860.16421475838831</c:v>
                </c:pt>
                <c:pt idx="448">
                  <c:v>851.07294660052935</c:v>
                </c:pt>
                <c:pt idx="449">
                  <c:v>841.92371730226546</c:v>
                </c:pt>
                <c:pt idx="450">
                  <c:v>832.71706201824645</c:v>
                </c:pt>
                <c:pt idx="451">
                  <c:v>823.45351559317805</c:v>
                </c:pt>
                <c:pt idx="452">
                  <c:v>814.13361248164733</c:v>
                </c:pt>
                <c:pt idx="453">
                  <c:v>804.75788666908045</c:v>
                </c:pt>
                <c:pt idx="454">
                  <c:v>795.32687159384579</c:v>
                </c:pt>
                <c:pt idx="455">
                  <c:v>785.84110007051424</c:v>
                </c:pt>
                <c:pt idx="456">
                  <c:v>776.30110421428731</c:v>
                </c:pt>
                <c:pt idx="457">
                  <c:v>766.7074153666041</c:v>
                </c:pt>
                <c:pt idx="458">
                  <c:v>757.06056402193587</c:v>
                </c:pt>
                <c:pt idx="459">
                  <c:v>747.3610797557775</c:v>
                </c:pt>
                <c:pt idx="460">
                  <c:v>737.60949115384312</c:v>
                </c:pt>
                <c:pt idx="461">
                  <c:v>727.80632574247397</c:v>
                </c:pt>
                <c:pt idx="462">
                  <c:v>717.95210992026364</c:v>
                </c:pt>
                <c:pt idx="463">
                  <c:v>708.04736889090816</c:v>
                </c:pt>
                <c:pt idx="464">
                  <c:v>698.09262659728381</c:v>
                </c:pt>
                <c:pt idx="465">
                  <c:v>688.08840565675894</c:v>
                </c:pt>
                <c:pt idx="466">
                  <c:v>678.0352272977417</c:v>
                </c:pt>
                <c:pt idx="467">
                  <c:v>667.93361129746768</c:v>
                </c:pt>
                <c:pt idx="468">
                  <c:v>657.78407592102917</c:v>
                </c:pt>
                <c:pt idx="469">
                  <c:v>647.58713786164776</c:v>
                </c:pt>
                <c:pt idx="470">
                  <c:v>637.34331218219063</c:v>
                </c:pt>
                <c:pt idx="471">
                  <c:v>627.05311225793196</c:v>
                </c:pt>
                <c:pt idx="472">
                  <c:v>616.71704972055795</c:v>
                </c:pt>
                <c:pt idx="473">
                  <c:v>606.33563440341516</c:v>
                </c:pt>
                <c:pt idx="474">
                  <c:v>595.90937428800009</c:v>
                </c:pt>
                <c:pt idx="475">
                  <c:v>585.4387754516888</c:v>
                </c:pt>
                <c:pt idx="476">
                  <c:v>574.92434201670255</c:v>
                </c:pt>
                <c:pt idx="477">
                  <c:v>564.36657610030773</c:v>
                </c:pt>
                <c:pt idx="478">
                  <c:v>553.76597776624487</c:v>
                </c:pt>
                <c:pt idx="479">
                  <c:v>543.12304497738376</c:v>
                </c:pt>
                <c:pt idx="480">
                  <c:v>532.43827354959842</c:v>
                </c:pt>
                <c:pt idx="481">
                  <c:v>521.71215710685851</c:v>
                </c:pt>
                <c:pt idx="482">
                  <c:v>510.94518703752948</c:v>
                </c:pt>
                <c:pt idx="483">
                  <c:v>500.13785245187671</c:v>
                </c:pt>
                <c:pt idx="484">
                  <c:v>489.29064014076596</c:v>
                </c:pt>
                <c:pt idx="485">
                  <c:v>478.40403453555393</c:v>
                </c:pt>
                <c:pt idx="486">
                  <c:v>467.47851766916062</c:v>
                </c:pt>
                <c:pt idx="487">
                  <c:v>456.51456913831601</c:v>
                </c:pt>
                <c:pt idx="488">
                  <c:v>445.51266606697266</c:v>
                </c:pt>
                <c:pt idx="489">
                  <c:v>434.47328307087542</c:v>
                </c:pt>
                <c:pt idx="490">
                  <c:v>423.39689222327951</c:v>
                </c:pt>
                <c:pt idx="491">
                  <c:v>412.28396302180721</c:v>
                </c:pt>
                <c:pt idx="492">
                  <c:v>401.13496235643362</c:v>
                </c:pt>
                <c:pt idx="493">
                  <c:v>389.95035447859135</c:v>
                </c:pt>
                <c:pt idx="494">
                  <c:v>378.73060097138415</c:v>
                </c:pt>
                <c:pt idx="495">
                  <c:v>367.47616072089801</c:v>
                </c:pt>
                <c:pt idx="496">
                  <c:v>356.18748988859988</c:v>
                </c:pt>
                <c:pt idx="497">
                  <c:v>344.86504188481189</c:v>
                </c:pt>
                <c:pt idx="498">
                  <c:v>333.50926734325026</c:v>
                </c:pt>
                <c:pt idx="499">
                  <c:v>322.12061409661669</c:v>
                </c:pt>
                <c:pt idx="500">
                  <c:v>310.69952715323097</c:v>
                </c:pt>
                <c:pt idx="501">
                  <c:v>299.24644867469198</c:v>
                </c:pt>
                <c:pt idx="502">
                  <c:v>287.76181795455523</c:v>
                </c:pt>
                <c:pt idx="503">
                  <c:v>276.24607139801435</c:v>
                </c:pt>
                <c:pt idx="504">
                  <c:v>264.69964250257374</c:v>
                </c:pt>
                <c:pt idx="505">
                  <c:v>253.12296183969957</c:v>
                </c:pt>
                <c:pt idx="506">
                  <c:v>241.51645703743606</c:v>
                </c:pt>
                <c:pt idx="507">
                  <c:v>229.88055276397409</c:v>
                </c:pt>
                <c:pt idx="508">
                  <c:v>218.21567071215858</c:v>
                </c:pt>
                <c:pt idx="509">
                  <c:v>206.52222958492152</c:v>
                </c:pt>
                <c:pt idx="510">
                  <c:v>194.80064508162684</c:v>
                </c:pt>
                <c:pt idx="511">
                  <c:v>183.05132988531386</c:v>
                </c:pt>
                <c:pt idx="512">
                  <c:v>171.27469365082527</c:v>
                </c:pt>
                <c:pt idx="513">
                  <c:v>159.47114299380607</c:v>
                </c:pt>
                <c:pt idx="514">
                  <c:v>147.64108148055965</c:v>
                </c:pt>
                <c:pt idx="515">
                  <c:v>135.78490961874695</c:v>
                </c:pt>
                <c:pt idx="516">
                  <c:v>123.90302484891491</c:v>
                </c:pt>
                <c:pt idx="517">
                  <c:v>111.99582153684011</c:v>
                </c:pt>
                <c:pt idx="518">
                  <c:v>100.06369096667359</c:v>
                </c:pt>
                <c:pt idx="519">
                  <c:v>88.107021334872911</c:v>
                </c:pt>
                <c:pt idx="520">
                  <c:v>76.126197744907174</c:v>
                </c:pt>
                <c:pt idx="521">
                  <c:v>64.12160220272122</c:v>
                </c:pt>
                <c:pt idx="522">
                  <c:v>52.093613612944687</c:v>
                </c:pt>
                <c:pt idx="523">
                  <c:v>40.042607775832025</c:v>
                </c:pt>
                <c:pt idx="524">
                  <c:v>27.968957384919399</c:v>
                </c:pt>
                <c:pt idx="525">
                  <c:v>15.873032025384418</c:v>
                </c:pt>
                <c:pt idx="526">
                  <c:v>3.7551981730947972</c:v>
                </c:pt>
                <c:pt idx="527">
                  <c:v>-8.3841808056680662</c:v>
                </c:pt>
                <c:pt idx="528">
                  <c:v>-8.396330877259949</c:v>
                </c:pt>
                <c:pt idx="529">
                  <c:v>-8.4084809698571732</c:v>
                </c:pt>
                <c:pt idx="530">
                  <c:v>-8.4206310834593818</c:v>
                </c:pt>
                <c:pt idx="531">
                  <c:v>-8.4327812180662214</c:v>
                </c:pt>
                <c:pt idx="532">
                  <c:v>-8.4449313736773366</c:v>
                </c:pt>
                <c:pt idx="533">
                  <c:v>-8.457081550292374</c:v>
                </c:pt>
                <c:pt idx="534">
                  <c:v>-8.4692317479109764</c:v>
                </c:pt>
                <c:pt idx="535">
                  <c:v>-8.4813819665327905</c:v>
                </c:pt>
                <c:pt idx="536">
                  <c:v>-8.493532206157461</c:v>
                </c:pt>
                <c:pt idx="537">
                  <c:v>-8.5056824667846342</c:v>
                </c:pt>
                <c:pt idx="538">
                  <c:v>-8.5178327484139533</c:v>
                </c:pt>
                <c:pt idx="539">
                  <c:v>-8.5299830510450647</c:v>
                </c:pt>
                <c:pt idx="540">
                  <c:v>-8.5421333746776131</c:v>
                </c:pt>
                <c:pt idx="541">
                  <c:v>-8.5542837193112433</c:v>
                </c:pt>
                <c:pt idx="542">
                  <c:v>-8.5664340849456</c:v>
                </c:pt>
                <c:pt idx="543">
                  <c:v>-8.5785844715803297</c:v>
                </c:pt>
                <c:pt idx="544">
                  <c:v>-8.5907348792150771</c:v>
                </c:pt>
                <c:pt idx="545">
                  <c:v>-8.6028853078494869</c:v>
                </c:pt>
                <c:pt idx="546">
                  <c:v>-8.6150357574832039</c:v>
                </c:pt>
                <c:pt idx="547">
                  <c:v>-8.6271862281158747</c:v>
                </c:pt>
                <c:pt idx="548">
                  <c:v>-8.6393367197471438</c:v>
                </c:pt>
                <c:pt idx="549">
                  <c:v>-8.6514872323766561</c:v>
                </c:pt>
                <c:pt idx="550">
                  <c:v>-8.6636377660040562</c:v>
                </c:pt>
                <c:pt idx="551">
                  <c:v>-8.6757883206289907</c:v>
                </c:pt>
                <c:pt idx="552">
                  <c:v>-8.6879388962511026</c:v>
                </c:pt>
                <c:pt idx="553">
                  <c:v>-8.7000894928700401</c:v>
                </c:pt>
                <c:pt idx="554">
                  <c:v>-8.7122401104854461</c:v>
                </c:pt>
                <c:pt idx="555">
                  <c:v>-8.7243907490969654</c:v>
                </c:pt>
                <c:pt idx="556">
                  <c:v>-8.7365414087042446</c:v>
                </c:pt>
                <c:pt idx="557">
                  <c:v>-8.7486920893069282</c:v>
                </c:pt>
                <c:pt idx="558">
                  <c:v>-8.7608427909046629</c:v>
                </c:pt>
                <c:pt idx="559">
                  <c:v>-8.7729935134970916</c:v>
                </c:pt>
                <c:pt idx="560">
                  <c:v>-8.7851442570838607</c:v>
                </c:pt>
                <c:pt idx="561">
                  <c:v>-8.7972950216646151</c:v>
                </c:pt>
                <c:pt idx="562">
                  <c:v>-8.8094458072390012</c:v>
                </c:pt>
                <c:pt idx="563">
                  <c:v>-8.8215966138066637</c:v>
                </c:pt>
                <c:pt idx="564">
                  <c:v>-8.8337474413672457</c:v>
                </c:pt>
                <c:pt idx="565">
                  <c:v>-8.8458982899203953</c:v>
                </c:pt>
                <c:pt idx="566">
                  <c:v>-8.8580491594657556</c:v>
                </c:pt>
                <c:pt idx="567">
                  <c:v>-8.870200050002973</c:v>
                </c:pt>
                <c:pt idx="568">
                  <c:v>-8.8823509615316922</c:v>
                </c:pt>
                <c:pt idx="569">
                  <c:v>-8.8945018940515581</c:v>
                </c:pt>
                <c:pt idx="570">
                  <c:v>-8.9066528475622171</c:v>
                </c:pt>
                <c:pt idx="571">
                  <c:v>-8.9188038220633139</c:v>
                </c:pt>
                <c:pt idx="572">
                  <c:v>-8.9309548175544933</c:v>
                </c:pt>
                <c:pt idx="573">
                  <c:v>-8.9431058340354017</c:v>
                </c:pt>
                <c:pt idx="574">
                  <c:v>-8.9552568715056822</c:v>
                </c:pt>
                <c:pt idx="575">
                  <c:v>-8.9674079299649812</c:v>
                </c:pt>
                <c:pt idx="576">
                  <c:v>-8.9795590094129452</c:v>
                </c:pt>
                <c:pt idx="577">
                  <c:v>-8.9917101098492171</c:v>
                </c:pt>
                <c:pt idx="578">
                  <c:v>-9.0038612312734436</c:v>
                </c:pt>
                <c:pt idx="579">
                  <c:v>-9.0160123736852693</c:v>
                </c:pt>
                <c:pt idx="580">
                  <c:v>-9.0281635370843407</c:v>
                </c:pt>
                <c:pt idx="581">
                  <c:v>-9.0403147214703026</c:v>
                </c:pt>
                <c:pt idx="582">
                  <c:v>-9.0524659268427996</c:v>
                </c:pt>
                <c:pt idx="583">
                  <c:v>-9.0646171532014765</c:v>
                </c:pt>
                <c:pt idx="584">
                  <c:v>-9.0767684005459799</c:v>
                </c:pt>
                <c:pt idx="585">
                  <c:v>-9.0889196688759544</c:v>
                </c:pt>
                <c:pt idx="586">
                  <c:v>-9.1010709581910447</c:v>
                </c:pt>
                <c:pt idx="587">
                  <c:v>-9.1132222684908974</c:v>
                </c:pt>
                <c:pt idx="588">
                  <c:v>-9.1253735997751573</c:v>
                </c:pt>
                <c:pt idx="589">
                  <c:v>-9.1375249520434689</c:v>
                </c:pt>
                <c:pt idx="590">
                  <c:v>-9.1496763252954789</c:v>
                </c:pt>
                <c:pt idx="591">
                  <c:v>-9.161827719530832</c:v>
                </c:pt>
                <c:pt idx="592">
                  <c:v>-9.1739791347491728</c:v>
                </c:pt>
                <c:pt idx="593">
                  <c:v>-9.186130570950148</c:v>
                </c:pt>
                <c:pt idx="594">
                  <c:v>-9.1982820281334003</c:v>
                </c:pt>
                <c:pt idx="595">
                  <c:v>-9.2104335062985783</c:v>
                </c:pt>
                <c:pt idx="596">
                  <c:v>-9.2225850054453247</c:v>
                </c:pt>
                <c:pt idx="597">
                  <c:v>-9.2347365255732861</c:v>
                </c:pt>
                <c:pt idx="598">
                  <c:v>-9.2468880666821072</c:v>
                </c:pt>
                <c:pt idx="599">
                  <c:v>-9.2590396287714345</c:v>
                </c:pt>
                <c:pt idx="600">
                  <c:v>-9.2711912118409128</c:v>
                </c:pt>
                <c:pt idx="601">
                  <c:v>-9.2833428158901867</c:v>
                </c:pt>
                <c:pt idx="602">
                  <c:v>-9.2954944409189011</c:v>
                </c:pt>
                <c:pt idx="603">
                  <c:v>-9.3076460869267024</c:v>
                </c:pt>
                <c:pt idx="604">
                  <c:v>-9.3197977539132353</c:v>
                </c:pt>
                <c:pt idx="605">
                  <c:v>-9.3319494418781463</c:v>
                </c:pt>
                <c:pt idx="606">
                  <c:v>-9.3441011508210803</c:v>
                </c:pt>
                <c:pt idx="607">
                  <c:v>-9.3562528807416818</c:v>
                </c:pt>
                <c:pt idx="608">
                  <c:v>-9.3684046316395975</c:v>
                </c:pt>
                <c:pt idx="609">
                  <c:v>-9.3805564035144702</c:v>
                </c:pt>
                <c:pt idx="610">
                  <c:v>-9.3927081963659482</c:v>
                </c:pt>
                <c:pt idx="611">
                  <c:v>-9.4048600101936746</c:v>
                </c:pt>
                <c:pt idx="612">
                  <c:v>-9.4170118449972957</c:v>
                </c:pt>
                <c:pt idx="613">
                  <c:v>-9.4291637007764582</c:v>
                </c:pt>
                <c:pt idx="614">
                  <c:v>-9.4413155775308049</c:v>
                </c:pt>
                <c:pt idx="615">
                  <c:v>-9.4534674752599823</c:v>
                </c:pt>
                <c:pt idx="616">
                  <c:v>-9.4656193939636371</c:v>
                </c:pt>
                <c:pt idx="617">
                  <c:v>-9.477771333641412</c:v>
                </c:pt>
                <c:pt idx="618">
                  <c:v>-9.4899232942929554</c:v>
                </c:pt>
                <c:pt idx="619">
                  <c:v>-9.5020752759179103</c:v>
                </c:pt>
                <c:pt idx="620">
                  <c:v>-9.5142272785159232</c:v>
                </c:pt>
                <c:pt idx="621">
                  <c:v>-9.5263793020866387</c:v>
                </c:pt>
                <c:pt idx="622">
                  <c:v>-9.5385313466297035</c:v>
                </c:pt>
                <c:pt idx="623">
                  <c:v>-9.5506834121447621</c:v>
                </c:pt>
                <c:pt idx="624">
                  <c:v>-9.5628354986314594</c:v>
                </c:pt>
                <c:pt idx="625">
                  <c:v>-9.5749876060894419</c:v>
                </c:pt>
                <c:pt idx="626">
                  <c:v>-9.5871397345183542</c:v>
                </c:pt>
                <c:pt idx="627">
                  <c:v>-9.5992918839178412</c:v>
                </c:pt>
                <c:pt idx="628">
                  <c:v>-9.6114440542875492</c:v>
                </c:pt>
                <c:pt idx="629">
                  <c:v>-9.6235962456271249</c:v>
                </c:pt>
                <c:pt idx="630">
                  <c:v>-9.6357484579362112</c:v>
                </c:pt>
                <c:pt idx="631">
                  <c:v>-9.6479006912144545</c:v>
                </c:pt>
                <c:pt idx="632">
                  <c:v>-9.6600529454615014</c:v>
                </c:pt>
                <c:pt idx="633">
                  <c:v>-9.6722052206769948</c:v>
                </c:pt>
                <c:pt idx="634">
                  <c:v>-9.6843575168605831</c:v>
                </c:pt>
                <c:pt idx="635">
                  <c:v>-9.6965098340119091</c:v>
                </c:pt>
                <c:pt idx="636">
                  <c:v>-9.7086621721306194</c:v>
                </c:pt>
                <c:pt idx="637">
                  <c:v>-9.7208145312163587</c:v>
                </c:pt>
                <c:pt idx="638">
                  <c:v>-9.7329669112687736</c:v>
                </c:pt>
                <c:pt idx="639">
                  <c:v>-9.7451193122875086</c:v>
                </c:pt>
                <c:pt idx="640">
                  <c:v>-9.7572717342722104</c:v>
                </c:pt>
                <c:pt idx="641">
                  <c:v>-9.7694241772225237</c:v>
                </c:pt>
                <c:pt idx="642">
                  <c:v>-9.7815766411380931</c:v>
                </c:pt>
                <c:pt idx="643">
                  <c:v>-9.7937291260185653</c:v>
                </c:pt>
                <c:pt idx="644">
                  <c:v>-9.8058816318635849</c:v>
                </c:pt>
                <c:pt idx="645">
                  <c:v>-9.8180341586727984</c:v>
                </c:pt>
                <c:pt idx="646">
                  <c:v>-9.8301867064458506</c:v>
                </c:pt>
                <c:pt idx="647">
                  <c:v>-9.8423392751823862</c:v>
                </c:pt>
                <c:pt idx="648">
                  <c:v>-9.8544918648820516</c:v>
                </c:pt>
                <c:pt idx="649">
                  <c:v>-9.8666444755444918</c:v>
                </c:pt>
                <c:pt idx="650">
                  <c:v>-9.878797107169353</c:v>
                </c:pt>
                <c:pt idx="651">
                  <c:v>-9.8909497597562801</c:v>
                </c:pt>
                <c:pt idx="652">
                  <c:v>-9.9031024333049196</c:v>
                </c:pt>
                <c:pt idx="653">
                  <c:v>-9.9152551278149161</c:v>
                </c:pt>
                <c:pt idx="654">
                  <c:v>-9.9274078432859145</c:v>
                </c:pt>
                <c:pt idx="655">
                  <c:v>-9.9395605797175612</c:v>
                </c:pt>
                <c:pt idx="656">
                  <c:v>-9.951713337109501</c:v>
                </c:pt>
                <c:pt idx="657">
                  <c:v>-9.9638661154613803</c:v>
                </c:pt>
                <c:pt idx="658">
                  <c:v>-9.976018914772844</c:v>
                </c:pt>
                <c:pt idx="659">
                  <c:v>-9.9881717350435366</c:v>
                </c:pt>
                <c:pt idx="660">
                  <c:v>-10.000324576273105</c:v>
                </c:pt>
                <c:pt idx="661">
                  <c:v>-10.012477438461195</c:v>
                </c:pt>
                <c:pt idx="662">
                  <c:v>-10.024630321607452</c:v>
                </c:pt>
                <c:pt idx="663">
                  <c:v>-10.03678322571152</c:v>
                </c:pt>
                <c:pt idx="664">
                  <c:v>-10.048936150773047</c:v>
                </c:pt>
                <c:pt idx="665">
                  <c:v>-10.061089096791676</c:v>
                </c:pt>
                <c:pt idx="666">
                  <c:v>-10.073242063767054</c:v>
                </c:pt>
                <c:pt idx="667">
                  <c:v>-10.085395051698827</c:v>
                </c:pt>
                <c:pt idx="668">
                  <c:v>-10.097548060586638</c:v>
                </c:pt>
                <c:pt idx="669">
                  <c:v>-10.109701090430134</c:v>
                </c:pt>
                <c:pt idx="670">
                  <c:v>-10.121854141228962</c:v>
                </c:pt>
                <c:pt idx="671">
                  <c:v>-10.134007212982764</c:v>
                </c:pt>
                <c:pt idx="672">
                  <c:v>-10.14616030569119</c:v>
                </c:pt>
                <c:pt idx="673">
                  <c:v>-10.158313419353883</c:v>
                </c:pt>
                <c:pt idx="674">
                  <c:v>-10.170466553970488</c:v>
                </c:pt>
                <c:pt idx="675">
                  <c:v>-10.182619709540653</c:v>
                </c:pt>
                <c:pt idx="676">
                  <c:v>-10.194772886064021</c:v>
                </c:pt>
                <c:pt idx="677">
                  <c:v>-10.206926083540237</c:v>
                </c:pt>
                <c:pt idx="678">
                  <c:v>-10.21907930196895</c:v>
                </c:pt>
                <c:pt idx="679">
                  <c:v>-10.231232541349803</c:v>
                </c:pt>
                <c:pt idx="680">
                  <c:v>-10.243385801682441</c:v>
                </c:pt>
                <c:pt idx="681">
                  <c:v>-10.255539082966513</c:v>
                </c:pt>
                <c:pt idx="682">
                  <c:v>-10.267692385201661</c:v>
                </c:pt>
                <c:pt idx="683">
                  <c:v>-10.279845708387532</c:v>
                </c:pt>
                <c:pt idx="684">
                  <c:v>-10.291999052523771</c:v>
                </c:pt>
                <c:pt idx="685">
                  <c:v>-10.304152417610025</c:v>
                </c:pt>
                <c:pt idx="686">
                  <c:v>-10.316305803645939</c:v>
                </c:pt>
                <c:pt idx="687">
                  <c:v>-10.328459210631157</c:v>
                </c:pt>
                <c:pt idx="688">
                  <c:v>-10.340612638565327</c:v>
                </c:pt>
                <c:pt idx="689">
                  <c:v>-10.352766087448092</c:v>
                </c:pt>
                <c:pt idx="690">
                  <c:v>-10.3649195572791</c:v>
                </c:pt>
                <c:pt idx="691">
                  <c:v>-10.377073048057996</c:v>
                </c:pt>
                <c:pt idx="692">
                  <c:v>-10.389226559784424</c:v>
                </c:pt>
                <c:pt idx="693">
                  <c:v>-10.401380092458032</c:v>
                </c:pt>
                <c:pt idx="694">
                  <c:v>-10.413533646078465</c:v>
                </c:pt>
                <c:pt idx="695">
                  <c:v>-10.425687220645367</c:v>
                </c:pt>
                <c:pt idx="696">
                  <c:v>-10.437840816158385</c:v>
                </c:pt>
                <c:pt idx="697">
                  <c:v>-10.449994432617164</c:v>
                </c:pt>
                <c:pt idx="698">
                  <c:v>-10.46214807002135</c:v>
                </c:pt>
                <c:pt idx="699">
                  <c:v>-10.474301728370587</c:v>
                </c:pt>
                <c:pt idx="700">
                  <c:v>-10.486455407664524</c:v>
                </c:pt>
                <c:pt idx="701">
                  <c:v>-10.498609107902803</c:v>
                </c:pt>
                <c:pt idx="702">
                  <c:v>-10.510762829085072</c:v>
                </c:pt>
                <c:pt idx="703">
                  <c:v>-10.522916571210978</c:v>
                </c:pt>
                <c:pt idx="704">
                  <c:v>-10.535070334280164</c:v>
                </c:pt>
                <c:pt idx="705">
                  <c:v>-10.547224118292275</c:v>
                </c:pt>
                <c:pt idx="706">
                  <c:v>-10.559377923246959</c:v>
                </c:pt>
                <c:pt idx="707">
                  <c:v>-10.57153174914386</c:v>
                </c:pt>
                <c:pt idx="708">
                  <c:v>-10.583685595982624</c:v>
                </c:pt>
                <c:pt idx="709">
                  <c:v>-10.595839463762898</c:v>
                </c:pt>
                <c:pt idx="710">
                  <c:v>-10.607993352484327</c:v>
                </c:pt>
                <c:pt idx="711">
                  <c:v>-10.620147262146554</c:v>
                </c:pt>
                <c:pt idx="712">
                  <c:v>-10.632301192749228</c:v>
                </c:pt>
                <c:pt idx="713">
                  <c:v>-10.644455144291994</c:v>
                </c:pt>
                <c:pt idx="714">
                  <c:v>-10.656609116774497</c:v>
                </c:pt>
                <c:pt idx="715">
                  <c:v>-10.668763110196384</c:v>
                </c:pt>
                <c:pt idx="716">
                  <c:v>-10.680917124557299</c:v>
                </c:pt>
                <c:pt idx="717">
                  <c:v>-10.693071159856888</c:v>
                </c:pt>
                <c:pt idx="718">
                  <c:v>-10.705225216094798</c:v>
                </c:pt>
                <c:pt idx="719">
                  <c:v>-10.717379293270673</c:v>
                </c:pt>
                <c:pt idx="720">
                  <c:v>-10.729533391384159</c:v>
                </c:pt>
                <c:pt idx="721">
                  <c:v>-10.741687510434902</c:v>
                </c:pt>
                <c:pt idx="722">
                  <c:v>-10.753841650422547</c:v>
                </c:pt>
                <c:pt idx="723">
                  <c:v>-10.765995811346741</c:v>
                </c:pt>
                <c:pt idx="724">
                  <c:v>-10.77814999320713</c:v>
                </c:pt>
                <c:pt idx="725">
                  <c:v>-10.790304196003358</c:v>
                </c:pt>
                <c:pt idx="726">
                  <c:v>-10.802458419735071</c:v>
                </c:pt>
                <c:pt idx="727">
                  <c:v>-10.814612664401917</c:v>
                </c:pt>
                <c:pt idx="728">
                  <c:v>-10.826766930003538</c:v>
                </c:pt>
                <c:pt idx="729">
                  <c:v>-10.838921216539584</c:v>
                </c:pt>
                <c:pt idx="730">
                  <c:v>-10.851075524009696</c:v>
                </c:pt>
                <c:pt idx="731">
                  <c:v>-10.863229852413523</c:v>
                </c:pt>
                <c:pt idx="732">
                  <c:v>-10.875384201750711</c:v>
                </c:pt>
                <c:pt idx="733">
                  <c:v>-10.887538572020903</c:v>
                </c:pt>
                <c:pt idx="734">
                  <c:v>-10.899692963223746</c:v>
                </c:pt>
                <c:pt idx="735">
                  <c:v>-10.911847375358887</c:v>
                </c:pt>
                <c:pt idx="736">
                  <c:v>-10.92400180842597</c:v>
                </c:pt>
                <c:pt idx="737">
                  <c:v>-10.936156262424642</c:v>
                </c:pt>
                <c:pt idx="738">
                  <c:v>-10.948310737354548</c:v>
                </c:pt>
                <c:pt idx="739">
                  <c:v>-10.960465233215334</c:v>
                </c:pt>
                <c:pt idx="740">
                  <c:v>-10.972619750006647</c:v>
                </c:pt>
                <c:pt idx="741">
                  <c:v>-10.984774287728131</c:v>
                </c:pt>
                <c:pt idx="742">
                  <c:v>-10.996928846379433</c:v>
                </c:pt>
                <c:pt idx="743">
                  <c:v>-11.009083425960197</c:v>
                </c:pt>
                <c:pt idx="744">
                  <c:v>-11.021238026470071</c:v>
                </c:pt>
                <c:pt idx="745">
                  <c:v>-11.033392647908698</c:v>
                </c:pt>
                <c:pt idx="746">
                  <c:v>-11.045547290275726</c:v>
                </c:pt>
                <c:pt idx="747">
                  <c:v>-11.057701953570801</c:v>
                </c:pt>
                <c:pt idx="748">
                  <c:v>-11.069856637793567</c:v>
                </c:pt>
                <c:pt idx="749">
                  <c:v>-11.08201134294367</c:v>
                </c:pt>
                <c:pt idx="750">
                  <c:v>-11.094166069020757</c:v>
                </c:pt>
                <c:pt idx="751">
                  <c:v>-11.106320816024473</c:v>
                </c:pt>
                <c:pt idx="752">
                  <c:v>-11.118475583954464</c:v>
                </c:pt>
                <c:pt idx="753">
                  <c:v>-11.130630372810375</c:v>
                </c:pt>
                <c:pt idx="754">
                  <c:v>-11.142785182591853</c:v>
                </c:pt>
                <c:pt idx="755">
                  <c:v>-11.154940013298543</c:v>
                </c:pt>
                <c:pt idx="756">
                  <c:v>-11.167094864930091</c:v>
                </c:pt>
                <c:pt idx="757">
                  <c:v>-11.179249737486144</c:v>
                </c:pt>
                <c:pt idx="758">
                  <c:v>-11.191404630966346</c:v>
                </c:pt>
                <c:pt idx="759">
                  <c:v>-11.203559545370345</c:v>
                </c:pt>
                <c:pt idx="760">
                  <c:v>-11.215714480697784</c:v>
                </c:pt>
                <c:pt idx="761">
                  <c:v>-11.227869436948311</c:v>
                </c:pt>
                <c:pt idx="762">
                  <c:v>-11.240024414121571</c:v>
                </c:pt>
                <c:pt idx="763">
                  <c:v>-11.25217941221721</c:v>
                </c:pt>
                <c:pt idx="764">
                  <c:v>-11.264334431234873</c:v>
                </c:pt>
                <c:pt idx="765">
                  <c:v>-11.276489471174207</c:v>
                </c:pt>
                <c:pt idx="766">
                  <c:v>-11.288644532034857</c:v>
                </c:pt>
                <c:pt idx="767">
                  <c:v>-11.300799613816469</c:v>
                </c:pt>
                <c:pt idx="768">
                  <c:v>-11.312954716518689</c:v>
                </c:pt>
                <c:pt idx="769">
                  <c:v>-11.325109840141163</c:v>
                </c:pt>
                <c:pt idx="770">
                  <c:v>-11.337264984683538</c:v>
                </c:pt>
                <c:pt idx="771">
                  <c:v>-11.349420150145457</c:v>
                </c:pt>
                <c:pt idx="772">
                  <c:v>-11.361575336526569</c:v>
                </c:pt>
                <c:pt idx="773">
                  <c:v>-11.373730543826516</c:v>
                </c:pt>
                <c:pt idx="774">
                  <c:v>-11.385885772044947</c:v>
                </c:pt>
                <c:pt idx="775">
                  <c:v>-11.398041021181507</c:v>
                </c:pt>
                <c:pt idx="776">
                  <c:v>-11.410196291235842</c:v>
                </c:pt>
                <c:pt idx="777">
                  <c:v>-11.422351582207597</c:v>
                </c:pt>
                <c:pt idx="778">
                  <c:v>-11.434506894096419</c:v>
                </c:pt>
                <c:pt idx="779">
                  <c:v>-11.446662226901953</c:v>
                </c:pt>
                <c:pt idx="780">
                  <c:v>-11.458817580623846</c:v>
                </c:pt>
                <c:pt idx="781">
                  <c:v>-11.470972955261743</c:v>
                </c:pt>
                <c:pt idx="782">
                  <c:v>-11.48312835081529</c:v>
                </c:pt>
                <c:pt idx="783">
                  <c:v>-11.495283767284134</c:v>
                </c:pt>
                <c:pt idx="784">
                  <c:v>-11.507439204667918</c:v>
                </c:pt>
                <c:pt idx="785">
                  <c:v>-11.51959466296629</c:v>
                </c:pt>
                <c:pt idx="786">
                  <c:v>-11.531750142178895</c:v>
                </c:pt>
                <c:pt idx="787">
                  <c:v>-11.543905642305381</c:v>
                </c:pt>
                <c:pt idx="788">
                  <c:v>-11.556061163345392</c:v>
                </c:pt>
                <c:pt idx="789">
                  <c:v>-11.568216705298575</c:v>
                </c:pt>
                <c:pt idx="790">
                  <c:v>-11.580372268164574</c:v>
                </c:pt>
                <c:pt idx="791">
                  <c:v>-11.592527851943036</c:v>
                </c:pt>
                <c:pt idx="792">
                  <c:v>-11.604683456633607</c:v>
                </c:pt>
                <c:pt idx="793">
                  <c:v>-11.616839082235932</c:v>
                </c:pt>
                <c:pt idx="794">
                  <c:v>-11.62899472874966</c:v>
                </c:pt>
                <c:pt idx="795">
                  <c:v>-11.641150396174433</c:v>
                </c:pt>
                <c:pt idx="796">
                  <c:v>-11.6533060845099</c:v>
                </c:pt>
                <c:pt idx="797">
                  <c:v>-11.665461793755705</c:v>
                </c:pt>
                <c:pt idx="798">
                  <c:v>-11.677617523911495</c:v>
                </c:pt>
                <c:pt idx="799">
                  <c:v>-11.689773274976915</c:v>
                </c:pt>
                <c:pt idx="800">
                  <c:v>-11.70192904695161</c:v>
                </c:pt>
                <c:pt idx="801">
                  <c:v>-11.714084839835229</c:v>
                </c:pt>
                <c:pt idx="802">
                  <c:v>-11.726240653627416</c:v>
                </c:pt>
                <c:pt idx="803">
                  <c:v>-11.738396488327817</c:v>
                </c:pt>
                <c:pt idx="804">
                  <c:v>-11.750552343936079</c:v>
                </c:pt>
                <c:pt idx="805">
                  <c:v>-11.762708220451847</c:v>
                </c:pt>
                <c:pt idx="806">
                  <c:v>-11.774864117874767</c:v>
                </c:pt>
                <c:pt idx="807">
                  <c:v>-11.787020036204485</c:v>
                </c:pt>
                <c:pt idx="808">
                  <c:v>-11.799175975440646</c:v>
                </c:pt>
                <c:pt idx="809">
                  <c:v>-11.811331935582897</c:v>
                </c:pt>
                <c:pt idx="810">
                  <c:v>-11.823487916630885</c:v>
                </c:pt>
                <c:pt idx="811">
                  <c:v>-11.835643918584255</c:v>
                </c:pt>
                <c:pt idx="812">
                  <c:v>-11.847799941442652</c:v>
                </c:pt>
                <c:pt idx="813">
                  <c:v>-11.859955985205723</c:v>
                </c:pt>
                <c:pt idx="814">
                  <c:v>-11.872112049873113</c:v>
                </c:pt>
                <c:pt idx="815">
                  <c:v>-11.88426813544447</c:v>
                </c:pt>
                <c:pt idx="816">
                  <c:v>-11.896424241919439</c:v>
                </c:pt>
                <c:pt idx="817">
                  <c:v>-11.908580369297665</c:v>
                </c:pt>
                <c:pt idx="818">
                  <c:v>-11.920736517578794</c:v>
                </c:pt>
                <c:pt idx="819">
                  <c:v>-11.932892686762473</c:v>
                </c:pt>
                <c:pt idx="820">
                  <c:v>-11.945048876848348</c:v>
                </c:pt>
                <c:pt idx="821">
                  <c:v>-11.957205087836066</c:v>
                </c:pt>
                <c:pt idx="822">
                  <c:v>-11.96936131972527</c:v>
                </c:pt>
                <c:pt idx="823">
                  <c:v>-11.981517572515608</c:v>
                </c:pt>
                <c:pt idx="824">
                  <c:v>-11.993673846206727</c:v>
                </c:pt>
                <c:pt idx="825">
                  <c:v>-12.00583014079827</c:v>
                </c:pt>
                <c:pt idx="826">
                  <c:v>-12.017986456289886</c:v>
                </c:pt>
                <c:pt idx="827">
                  <c:v>-12.03014279268122</c:v>
                </c:pt>
                <c:pt idx="828">
                  <c:v>-12.042299149971917</c:v>
                </c:pt>
                <c:pt idx="829">
                  <c:v>-12.054455528161624</c:v>
                </c:pt>
                <c:pt idx="830">
                  <c:v>-12.066611927249987</c:v>
                </c:pt>
                <c:pt idx="831">
                  <c:v>-12.078768347236652</c:v>
                </c:pt>
                <c:pt idx="832">
                  <c:v>-12.090924788121264</c:v>
                </c:pt>
                <c:pt idx="833">
                  <c:v>-12.10308124990347</c:v>
                </c:pt>
                <c:pt idx="834">
                  <c:v>-12.115237732582916</c:v>
                </c:pt>
                <c:pt idx="835">
                  <c:v>-12.127394236159247</c:v>
                </c:pt>
                <c:pt idx="836">
                  <c:v>-12.139550760632112</c:v>
                </c:pt>
                <c:pt idx="837">
                  <c:v>-12.151707306001155</c:v>
                </c:pt>
                <c:pt idx="838">
                  <c:v>-12.163863872266022</c:v>
                </c:pt>
                <c:pt idx="839">
                  <c:v>-12.176020459426359</c:v>
                </c:pt>
                <c:pt idx="840">
                  <c:v>-12.188177067481814</c:v>
                </c:pt>
                <c:pt idx="841">
                  <c:v>-12.200333696432029</c:v>
                </c:pt>
                <c:pt idx="842">
                  <c:v>-12.212490346276653</c:v>
                </c:pt>
                <c:pt idx="843">
                  <c:v>-12.224647017015331</c:v>
                </c:pt>
                <c:pt idx="844">
                  <c:v>-12.236803708647709</c:v>
                </c:pt>
                <c:pt idx="845">
                  <c:v>-12.248960421173434</c:v>
                </c:pt>
                <c:pt idx="846">
                  <c:v>-12.261117154592153</c:v>
                </c:pt>
                <c:pt idx="847">
                  <c:v>-12.27327390890351</c:v>
                </c:pt>
                <c:pt idx="848">
                  <c:v>-12.285430684107153</c:v>
                </c:pt>
                <c:pt idx="849">
                  <c:v>-12.297587480202726</c:v>
                </c:pt>
                <c:pt idx="850">
                  <c:v>-12.309744297189875</c:v>
                </c:pt>
                <c:pt idx="851">
                  <c:v>-12.321901135068247</c:v>
                </c:pt>
                <c:pt idx="852">
                  <c:v>-12.334057993837488</c:v>
                </c:pt>
                <c:pt idx="853">
                  <c:v>-12.346214873497246</c:v>
                </c:pt>
                <c:pt idx="854">
                  <c:v>-12.358371774047164</c:v>
                </c:pt>
                <c:pt idx="855">
                  <c:v>-12.37052869548689</c:v>
                </c:pt>
                <c:pt idx="856">
                  <c:v>-12.382685637816069</c:v>
                </c:pt>
                <c:pt idx="857">
                  <c:v>-12.394842601034348</c:v>
                </c:pt>
                <c:pt idx="858">
                  <c:v>-12.406999585141374</c:v>
                </c:pt>
                <c:pt idx="859">
                  <c:v>-12.419156590136792</c:v>
                </c:pt>
                <c:pt idx="860">
                  <c:v>-12.431313616020248</c:v>
                </c:pt>
                <c:pt idx="861">
                  <c:v>-12.443470662791388</c:v>
                </c:pt>
                <c:pt idx="862">
                  <c:v>-12.455627730449857</c:v>
                </c:pt>
                <c:pt idx="863">
                  <c:v>-12.467784818995304</c:v>
                </c:pt>
                <c:pt idx="864">
                  <c:v>-12.479941928427372</c:v>
                </c:pt>
                <c:pt idx="865">
                  <c:v>-12.49209905874571</c:v>
                </c:pt>
                <c:pt idx="866">
                  <c:v>-12.504256209949963</c:v>
                </c:pt>
                <c:pt idx="867">
                  <c:v>-12.516413382039776</c:v>
                </c:pt>
                <c:pt idx="868">
                  <c:v>-12.528570575014797</c:v>
                </c:pt>
                <c:pt idx="869">
                  <c:v>-12.540727788874671</c:v>
                </c:pt>
                <c:pt idx="870">
                  <c:v>-12.552885023619044</c:v>
                </c:pt>
                <c:pt idx="871">
                  <c:v>-12.565042279247564</c:v>
                </c:pt>
                <c:pt idx="872">
                  <c:v>-12.577199555759874</c:v>
                </c:pt>
                <c:pt idx="873">
                  <c:v>-12.589356853155623</c:v>
                </c:pt>
                <c:pt idx="874">
                  <c:v>-12.601514171434456</c:v>
                </c:pt>
                <c:pt idx="875">
                  <c:v>-12.613671510596019</c:v>
                </c:pt>
                <c:pt idx="876">
                  <c:v>-12.625828870639959</c:v>
                </c:pt>
                <c:pt idx="877">
                  <c:v>-12.63798625156592</c:v>
                </c:pt>
                <c:pt idx="878">
                  <c:v>-12.650143653373551</c:v>
                </c:pt>
                <c:pt idx="879">
                  <c:v>-12.662301076062496</c:v>
                </c:pt>
                <c:pt idx="880">
                  <c:v>-12.674458519632402</c:v>
                </c:pt>
                <c:pt idx="881">
                  <c:v>-12.686615984082916</c:v>
                </c:pt>
                <c:pt idx="882">
                  <c:v>-12.698773469413684</c:v>
                </c:pt>
                <c:pt idx="883">
                  <c:v>-12.71093097562435</c:v>
                </c:pt>
                <c:pt idx="884">
                  <c:v>-12.723088502714564</c:v>
                </c:pt>
                <c:pt idx="885">
                  <c:v>-12.735246050683969</c:v>
                </c:pt>
                <c:pt idx="886">
                  <c:v>-12.747403619532212</c:v>
                </c:pt>
                <c:pt idx="887">
                  <c:v>-12.759561209258941</c:v>
                </c:pt>
                <c:pt idx="888">
                  <c:v>-12.771718819863798</c:v>
                </c:pt>
                <c:pt idx="889">
                  <c:v>-12.783876451346433</c:v>
                </c:pt>
                <c:pt idx="890">
                  <c:v>-12.796034103706491</c:v>
                </c:pt>
                <c:pt idx="891">
                  <c:v>-12.808191776943618</c:v>
                </c:pt>
                <c:pt idx="892">
                  <c:v>-12.82034947105746</c:v>
                </c:pt>
                <c:pt idx="893">
                  <c:v>-12.832507186047664</c:v>
                </c:pt>
                <c:pt idx="894">
                  <c:v>-12.844664921913877</c:v>
                </c:pt>
                <c:pt idx="895">
                  <c:v>-12.856822678655744</c:v>
                </c:pt>
                <c:pt idx="896">
                  <c:v>-12.868980456272912</c:v>
                </c:pt>
                <c:pt idx="897">
                  <c:v>-12.881138254765025</c:v>
                </c:pt>
                <c:pt idx="898">
                  <c:v>-12.893296074131731</c:v>
                </c:pt>
                <c:pt idx="899">
                  <c:v>-12.905453914372677</c:v>
                </c:pt>
                <c:pt idx="900">
                  <c:v>-12.917611775487508</c:v>
                </c:pt>
                <c:pt idx="901">
                  <c:v>-12.929769657475871</c:v>
                </c:pt>
                <c:pt idx="902">
                  <c:v>-12.941927560337412</c:v>
                </c:pt>
                <c:pt idx="903">
                  <c:v>-12.954085484071776</c:v>
                </c:pt>
                <c:pt idx="904">
                  <c:v>-12.966243428678611</c:v>
                </c:pt>
                <c:pt idx="905">
                  <c:v>-12.978401394157563</c:v>
                </c:pt>
                <c:pt idx="906">
                  <c:v>-12.990559380508278</c:v>
                </c:pt>
                <c:pt idx="907">
                  <c:v>-13.002717387730401</c:v>
                </c:pt>
                <c:pt idx="908">
                  <c:v>-13.01487541582358</c:v>
                </c:pt>
                <c:pt idx="909">
                  <c:v>-13.027033464787461</c:v>
                </c:pt>
                <c:pt idx="910">
                  <c:v>-13.03919153462169</c:v>
                </c:pt>
                <c:pt idx="911">
                  <c:v>-13.051349625325912</c:v>
                </c:pt>
                <c:pt idx="912">
                  <c:v>-13.063507736899775</c:v>
                </c:pt>
                <c:pt idx="913">
                  <c:v>-13.075665869342924</c:v>
                </c:pt>
                <c:pt idx="914">
                  <c:v>-13.087824022655006</c:v>
                </c:pt>
                <c:pt idx="915">
                  <c:v>-13.099982196835668</c:v>
                </c:pt>
                <c:pt idx="916">
                  <c:v>-13.112140391884557</c:v>
                </c:pt>
                <c:pt idx="917">
                  <c:v>-13.124298607801316</c:v>
                </c:pt>
                <c:pt idx="918">
                  <c:v>-13.136456844585595</c:v>
                </c:pt>
                <c:pt idx="919">
                  <c:v>-13.148615102237038</c:v>
                </c:pt>
                <c:pt idx="920">
                  <c:v>-13.160773380755291</c:v>
                </c:pt>
                <c:pt idx="921">
                  <c:v>-13.172931680140001</c:v>
                </c:pt>
                <c:pt idx="922">
                  <c:v>-13.185090000390815</c:v>
                </c:pt>
                <c:pt idx="923">
                  <c:v>-13.197248341507379</c:v>
                </c:pt>
                <c:pt idx="924">
                  <c:v>-13.209406703489339</c:v>
                </c:pt>
                <c:pt idx="925">
                  <c:v>-13.221565086336341</c:v>
                </c:pt>
                <c:pt idx="926">
                  <c:v>-13.233723490048032</c:v>
                </c:pt>
                <c:pt idx="927">
                  <c:v>-13.245881914624057</c:v>
                </c:pt>
                <c:pt idx="928">
                  <c:v>-13.258040360064065</c:v>
                </c:pt>
                <c:pt idx="929">
                  <c:v>-13.2701988263677</c:v>
                </c:pt>
                <c:pt idx="930">
                  <c:v>-13.282357313534609</c:v>
                </c:pt>
                <c:pt idx="931">
                  <c:v>-13.294515821564438</c:v>
                </c:pt>
                <c:pt idx="932">
                  <c:v>-13.306674350456834</c:v>
                </c:pt>
                <c:pt idx="933">
                  <c:v>-13.318832900211444</c:v>
                </c:pt>
                <c:pt idx="934">
                  <c:v>-13.330991470827913</c:v>
                </c:pt>
                <c:pt idx="935">
                  <c:v>-13.343150062305886</c:v>
                </c:pt>
                <c:pt idx="936">
                  <c:v>-13.355308674645013</c:v>
                </c:pt>
                <c:pt idx="937">
                  <c:v>-13.367467307844937</c:v>
                </c:pt>
                <c:pt idx="938">
                  <c:v>-13.379625961905306</c:v>
                </c:pt>
                <c:pt idx="939">
                  <c:v>-13.391784636825767</c:v>
                </c:pt>
                <c:pt idx="940">
                  <c:v>-13.403943332605966</c:v>
                </c:pt>
                <c:pt idx="941">
                  <c:v>-13.416102049245548</c:v>
                </c:pt>
                <c:pt idx="942">
                  <c:v>-13.428260786744161</c:v>
                </c:pt>
                <c:pt idx="943">
                  <c:v>-13.440419545101451</c:v>
                </c:pt>
                <c:pt idx="944">
                  <c:v>-13.452578324317063</c:v>
                </c:pt>
                <c:pt idx="945">
                  <c:v>-13.464737124390645</c:v>
                </c:pt>
                <c:pt idx="946">
                  <c:v>-13.476895945321843</c:v>
                </c:pt>
                <c:pt idx="947">
                  <c:v>-13.489054787110302</c:v>
                </c:pt>
                <c:pt idx="948">
                  <c:v>-13.50121364975567</c:v>
                </c:pt>
                <c:pt idx="949">
                  <c:v>-13.513372533257593</c:v>
                </c:pt>
                <c:pt idx="950">
                  <c:v>-13.525531437615717</c:v>
                </c:pt>
                <c:pt idx="951">
                  <c:v>-13.537690362829689</c:v>
                </c:pt>
                <c:pt idx="952">
                  <c:v>-13.549849308899155</c:v>
                </c:pt>
                <c:pt idx="953">
                  <c:v>-13.562008275823763</c:v>
                </c:pt>
                <c:pt idx="954">
                  <c:v>-13.574167263603156</c:v>
                </c:pt>
                <c:pt idx="955">
                  <c:v>-13.586326272236983</c:v>
                </c:pt>
                <c:pt idx="956">
                  <c:v>-13.598485301724891</c:v>
                </c:pt>
                <c:pt idx="957">
                  <c:v>-13.610644352066524</c:v>
                </c:pt>
                <c:pt idx="958">
                  <c:v>-13.62280342326153</c:v>
                </c:pt>
                <c:pt idx="959">
                  <c:v>-13.634962515309555</c:v>
                </c:pt>
                <c:pt idx="960">
                  <c:v>-13.647121628210245</c:v>
                </c:pt>
                <c:pt idx="961">
                  <c:v>-13.659280761963247</c:v>
                </c:pt>
                <c:pt idx="962">
                  <c:v>-13.671439916568207</c:v>
                </c:pt>
                <c:pt idx="963">
                  <c:v>-13.683599092024773</c:v>
                </c:pt>
                <c:pt idx="964">
                  <c:v>-13.695758288332589</c:v>
                </c:pt>
                <c:pt idx="965">
                  <c:v>-13.707917505491304</c:v>
                </c:pt>
                <c:pt idx="966">
                  <c:v>-13.720076743500563</c:v>
                </c:pt>
                <c:pt idx="967">
                  <c:v>-13.732236002360011</c:v>
                </c:pt>
                <c:pt idx="968">
                  <c:v>-13.744395282069297</c:v>
                </c:pt>
                <c:pt idx="969">
                  <c:v>-13.756554582628066</c:v>
                </c:pt>
                <c:pt idx="970">
                  <c:v>-13.768713904035966</c:v>
                </c:pt>
                <c:pt idx="971">
                  <c:v>-13.780873246292641</c:v>
                </c:pt>
                <c:pt idx="972">
                  <c:v>-13.79303260939774</c:v>
                </c:pt>
                <c:pt idx="973">
                  <c:v>-13.805191993350908</c:v>
                </c:pt>
                <c:pt idx="974">
                  <c:v>-13.817351398151791</c:v>
                </c:pt>
                <c:pt idx="975">
                  <c:v>-13.829510823800037</c:v>
                </c:pt>
                <c:pt idx="976">
                  <c:v>-13.841670270295291</c:v>
                </c:pt>
                <c:pt idx="977">
                  <c:v>-13.8538297376372</c:v>
                </c:pt>
                <c:pt idx="978">
                  <c:v>-13.865989225825411</c:v>
                </c:pt>
                <c:pt idx="979">
                  <c:v>-13.87814873485957</c:v>
                </c:pt>
                <c:pt idx="980">
                  <c:v>-13.890308264739325</c:v>
                </c:pt>
                <c:pt idx="981">
                  <c:v>-13.90246781546432</c:v>
                </c:pt>
                <c:pt idx="982">
                  <c:v>-13.914627387034203</c:v>
                </c:pt>
                <c:pt idx="983">
                  <c:v>-13.92678697944862</c:v>
                </c:pt>
                <c:pt idx="984">
                  <c:v>-13.938946592707218</c:v>
                </c:pt>
                <c:pt idx="985">
                  <c:v>-13.951106226809642</c:v>
                </c:pt>
                <c:pt idx="986">
                  <c:v>-13.963265881755541</c:v>
                </c:pt>
                <c:pt idx="987">
                  <c:v>-13.975425557544559</c:v>
                </c:pt>
                <c:pt idx="988">
                  <c:v>-13.987585254176345</c:v>
                </c:pt>
                <c:pt idx="989">
                  <c:v>-13.999744971650543</c:v>
                </c:pt>
                <c:pt idx="990">
                  <c:v>-14.011904709966801</c:v>
                </c:pt>
                <c:pt idx="991">
                  <c:v>-14.024064469124765</c:v>
                </c:pt>
                <c:pt idx="992">
                  <c:v>-14.036224249124082</c:v>
                </c:pt>
                <c:pt idx="993">
                  <c:v>-14.048384049964397</c:v>
                </c:pt>
                <c:pt idx="994">
                  <c:v>-14.060543871645359</c:v>
                </c:pt>
                <c:pt idx="995">
                  <c:v>-14.072703714166614</c:v>
                </c:pt>
                <c:pt idx="996">
                  <c:v>-14.084863577527807</c:v>
                </c:pt>
                <c:pt idx="997">
                  <c:v>-14.097023461728586</c:v>
                </c:pt>
                <c:pt idx="998">
                  <c:v>-14.109183366768596</c:v>
                </c:pt>
                <c:pt idx="999">
                  <c:v>-14.121343292647484</c:v>
                </c:pt>
                <c:pt idx="1000">
                  <c:v>-14.133503239364899</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17</c:v>
                </c:pt>
                <c:pt idx="1">
                  <c:v>64.247288611714708</c:v>
                </c:pt>
                <c:pt idx="2">
                  <c:v>111.4945772234294</c:v>
                </c:pt>
                <c:pt idx="3">
                  <c:v>110.28866125127217</c:v>
                </c:pt>
                <c:pt idx="4">
                  <c:v>111.4945772234294</c:v>
                </c:pt>
                <c:pt idx="5">
                  <c:v>106.81866125127215</c:v>
                </c:pt>
                <c:pt idx="6">
                  <c:v>111.4945772234294</c:v>
                </c:pt>
              </c:numCache>
            </c:numRef>
          </c:xVal>
          <c:yVal>
            <c:numRef>
              <c:f>Trajecto!$C$132:$C$138</c:f>
              <c:numCache>
                <c:formatCode>0</c:formatCode>
                <c:ptCount val="7"/>
                <c:pt idx="0">
                  <c:v>1388.7662395243651</c:v>
                </c:pt>
                <c:pt idx="1">
                  <c:v>694.38311976218256</c:v>
                </c:pt>
                <c:pt idx="2">
                  <c:v>0</c:v>
                </c:pt>
                <c:pt idx="3">
                  <c:v>61.863235409617637</c:v>
                </c:pt>
                <c:pt idx="4">
                  <c:v>0</c:v>
                </c:pt>
                <c:pt idx="5">
                  <c:v>25.037787724781943</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pt idx="0">
                  <c:v>Satellite sous parachute</c:v>
                </c:pt>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3.7</c:v>
                </c:pt>
                <c:pt idx="1">
                  <c:v>26.230099067535196</c:v>
                </c:pt>
                <c:pt idx="2">
                  <c:v>48.760198135070389</c:v>
                </c:pt>
                <c:pt idx="3">
                  <c:v>46.853823601136391</c:v>
                </c:pt>
                <c:pt idx="4">
                  <c:v>48.760198135070389</c:v>
                </c:pt>
                <c:pt idx="5">
                  <c:v>44.466572669004343</c:v>
                </c:pt>
                <c:pt idx="6">
                  <c:v>48.760198135070389</c:v>
                </c:pt>
              </c:numCache>
            </c:numRef>
          </c:xVal>
          <c:yVal>
            <c:numRef>
              <c:f>Trajecto!$C$149:$C$155</c:f>
              <c:numCache>
                <c:formatCode>0</c:formatCode>
                <c:ptCount val="7"/>
                <c:pt idx="0">
                  <c:v>570.26215930574847</c:v>
                </c:pt>
                <c:pt idx="1">
                  <c:v>285.13107965287423</c:v>
                </c:pt>
                <c:pt idx="2">
                  <c:v>0</c:v>
                </c:pt>
                <c:pt idx="3">
                  <c:v>112.73189230329464</c:v>
                </c:pt>
                <c:pt idx="4">
                  <c:v>0</c:v>
                </c:pt>
                <c:pt idx="5">
                  <c:v>23.972280034697036</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Calculs!$AE$4:$AE$1004</c:f>
              <c:numCache>
                <c:formatCode>0</c:formatCode>
                <c:ptCount val="1001"/>
                <c:pt idx="0">
                  <c:v>0</c:v>
                </c:pt>
                <c:pt idx="1">
                  <c:v>9.5669889931573524E-4</c:v>
                </c:pt>
                <c:pt idx="2">
                  <c:v>7.8147455232856784E-3</c:v>
                </c:pt>
                <c:pt idx="3">
                  <c:v>2.6992684424835094E-2</c:v>
                </c:pt>
                <c:pt idx="4">
                  <c:v>6.0667505481540311E-2</c:v>
                </c:pt>
                <c:pt idx="5">
                  <c:v>0.10833133201655158</c:v>
                </c:pt>
                <c:pt idx="6">
                  <c:v>0.16963037567637684</c:v>
                </c:pt>
                <c:pt idx="7">
                  <c:v>0.24452081130294206</c:v>
                </c:pt>
                <c:pt idx="8">
                  <c:v>0.33311404982606618</c:v>
                </c:pt>
                <c:pt idx="9">
                  <c:v>0.43552155773738688</c:v>
                </c:pt>
                <c:pt idx="10">
                  <c:v>0.55185485461711581</c:v>
                </c:pt>
                <c:pt idx="11">
                  <c:v>0.68220937776239388</c:v>
                </c:pt>
                <c:pt idx="12">
                  <c:v>0.82664829999510614</c:v>
                </c:pt>
                <c:pt idx="13">
                  <c:v>0.98521859103618514</c:v>
                </c:pt>
                <c:pt idx="14">
                  <c:v>1.1579671260518243</c:v>
                </c:pt>
                <c:pt idx="15">
                  <c:v>1.3449406838593987</c:v>
                </c:pt>
                <c:pt idx="16">
                  <c:v>1.5461859451278346</c:v>
                </c:pt>
                <c:pt idx="17">
                  <c:v>1.7617494905725721</c:v>
                </c:pt>
                <c:pt idx="18">
                  <c:v>1.9916777991452683</c:v>
                </c:pt>
                <c:pt idx="19">
                  <c:v>2.2360172462183869</c:v>
                </c:pt>
                <c:pt idx="20">
                  <c:v>2.4948141017648275</c:v>
                </c:pt>
                <c:pt idx="21">
                  <c:v>2.7681080494960266</c:v>
                </c:pt>
                <c:pt idx="22">
                  <c:v>3.0559256875977927</c:v>
                </c:pt>
                <c:pt idx="23">
                  <c:v>3.3582869794392054</c:v>
                </c:pt>
                <c:pt idx="24">
                  <c:v>3.6752117230480756</c:v>
                </c:pt>
                <c:pt idx="25">
                  <c:v>4.006719550019838</c:v>
                </c:pt>
                <c:pt idx="26">
                  <c:v>4.3528151225208758</c:v>
                </c:pt>
                <c:pt idx="27">
                  <c:v>4.7135022929252681</c:v>
                </c:pt>
                <c:pt idx="28">
                  <c:v>5.0887989139176417</c:v>
                </c:pt>
                <c:pt idx="29">
                  <c:v>5.4787226962524684</c:v>
                </c:pt>
                <c:pt idx="30">
                  <c:v>5.8832912166398641</c:v>
                </c:pt>
                <c:pt idx="31">
                  <c:v>6.3025219141642737</c:v>
                </c:pt>
                <c:pt idx="32">
                  <c:v>6.7364320869631626</c:v>
                </c:pt>
                <c:pt idx="33">
                  <c:v>7.1850388891331489</c:v>
                </c:pt>
                <c:pt idx="34">
                  <c:v>7.6483593278361628</c:v>
                </c:pt>
                <c:pt idx="35">
                  <c:v>8.1264102605823965</c:v>
                </c:pt>
                <c:pt idx="36">
                  <c:v>8.6192083926702825</c:v>
                </c:pt>
                <c:pt idx="37">
                  <c:v>9.1267702747665815</c:v>
                </c:pt>
                <c:pt idx="38">
                  <c:v>9.6491123006120247</c:v>
                </c:pt>
                <c:pt idx="39">
                  <c:v>10.186250704839962</c:v>
                </c:pt>
                <c:pt idx="40">
                  <c:v>10.738201560897135</c:v>
                </c:pt>
                <c:pt idx="41">
                  <c:v>11.30497573154603</c:v>
                </c:pt>
                <c:pt idx="42">
                  <c:v>11.886573806987526</c:v>
                </c:pt>
                <c:pt idx="43">
                  <c:v>12.48299113334086</c:v>
                </c:pt>
                <c:pt idx="44">
                  <c:v>13.094222854003295</c:v>
                </c:pt>
                <c:pt idx="45">
                  <c:v>13.720263908657003</c:v>
                </c:pt>
                <c:pt idx="46">
                  <c:v>14.361109032348294</c:v>
                </c:pt>
                <c:pt idx="47">
                  <c:v>15.016752754634005</c:v>
                </c:pt>
                <c:pt idx="48">
                  <c:v>15.687189398790466</c:v>
                </c:pt>
                <c:pt idx="49">
                  <c:v>16.372413081080914</c:v>
                </c:pt>
                <c:pt idx="50">
                  <c:v>17.072417710077747</c:v>
                </c:pt>
                <c:pt idx="51">
                  <c:v>17.787196986036282</c:v>
                </c:pt>
                <c:pt idx="52">
                  <c:v>18.516744400317094</c:v>
                </c:pt>
                <c:pt idx="53">
                  <c:v>19.261053234854291</c:v>
                </c:pt>
                <c:pt idx="54">
                  <c:v>20.020116561667326</c:v>
                </c:pt>
                <c:pt idx="55">
                  <c:v>20.793927242414163</c:v>
                </c:pt>
                <c:pt idx="56">
                  <c:v>21.58247792798387</c:v>
                </c:pt>
                <c:pt idx="57">
                  <c:v>22.385761058126832</c:v>
                </c:pt>
                <c:pt idx="58">
                  <c:v>23.203768861120967</c:v>
                </c:pt>
                <c:pt idx="59">
                  <c:v>24.036493353472483</c:v>
                </c:pt>
                <c:pt idx="60">
                  <c:v>24.883926339649811</c:v>
                </c:pt>
                <c:pt idx="61">
                  <c:v>25.746059411849487</c:v>
                </c:pt>
                <c:pt idx="62">
                  <c:v>26.62288394979284</c:v>
                </c:pt>
                <c:pt idx="63">
                  <c:v>27.514391120552467</c:v>
                </c:pt>
                <c:pt idx="64">
                  <c:v>28.420571878407515</c:v>
                </c:pt>
                <c:pt idx="65">
                  <c:v>29.341416964726893</c:v>
                </c:pt>
                <c:pt idx="66">
                  <c:v>30.276916907879627</c:v>
                </c:pt>
                <c:pt idx="67">
                  <c:v>31.227062023171555</c:v>
                </c:pt>
                <c:pt idx="68">
                  <c:v>32.191842412807688</c:v>
                </c:pt>
                <c:pt idx="69">
                  <c:v>33.171247965879623</c:v>
                </c:pt>
                <c:pt idx="70">
                  <c:v>34.165268358377332</c:v>
                </c:pt>
                <c:pt idx="71">
                  <c:v>35.173893053224816</c:v>
                </c:pt>
                <c:pt idx="72">
                  <c:v>36.197111300339095</c:v>
                </c:pt>
                <c:pt idx="73">
                  <c:v>37.234912136712033</c:v>
                </c:pt>
                <c:pt idx="74">
                  <c:v>38.287284386514528</c:v>
                </c:pt>
                <c:pt idx="75">
                  <c:v>39.354216661222665</c:v>
                </c:pt>
                <c:pt idx="76">
                  <c:v>40.435697359765399</c:v>
                </c:pt>
                <c:pt idx="77">
                  <c:v>41.53171466869339</c:v>
                </c:pt>
                <c:pt idx="78">
                  <c:v>42.642256562368658</c:v>
                </c:pt>
                <c:pt idx="79">
                  <c:v>43.767310803174666</c:v>
                </c:pt>
                <c:pt idx="80">
                  <c:v>44.906864941746555</c:v>
                </c:pt>
                <c:pt idx="81">
                  <c:v>46.060901173973988</c:v>
                </c:pt>
                <c:pt idx="82">
                  <c:v>47.229391188020493</c:v>
                </c:pt>
                <c:pt idx="83">
                  <c:v>48.41230129613966</c:v>
                </c:pt>
                <c:pt idx="84">
                  <c:v>49.609597576989934</c:v>
                </c:pt>
                <c:pt idx="85">
                  <c:v>50.821245876915398</c:v>
                </c:pt>
                <c:pt idx="86">
                  <c:v>52.047211811247202</c:v>
                </c:pt>
                <c:pt idx="87">
                  <c:v>53.287460765625205</c:v>
                </c:pt>
                <c:pt idx="88">
                  <c:v>54.541957897339366</c:v>
                </c:pt>
                <c:pt idx="89">
                  <c:v>55.810668136690488</c:v>
                </c:pt>
                <c:pt idx="90">
                  <c:v>57.093556188369924</c:v>
                </c:pt>
                <c:pt idx="91">
                  <c:v>58.390584258023168</c:v>
                </c:pt>
                <c:pt idx="92">
                  <c:v>59.701709774842016</c:v>
                </c:pt>
                <c:pt idx="93">
                  <c:v>61.026887663502151</c:v>
                </c:pt>
                <c:pt idx="94">
                  <c:v>62.366072620338954</c:v>
                </c:pt>
                <c:pt idx="95">
                  <c:v>63.719219115278584</c:v>
                </c:pt>
                <c:pt idx="96">
                  <c:v>65.086281393785441</c:v>
                </c:pt>
                <c:pt idx="97">
                  <c:v>66.467213478825656</c:v>
                </c:pt>
                <c:pt idx="98">
                  <c:v>67.861969172846131</c:v>
                </c:pt>
                <c:pt idx="99">
                  <c:v>69.27050205976866</c:v>
                </c:pt>
                <c:pt idx="100">
                  <c:v>70.692765506998754</c:v>
                </c:pt>
                <c:pt idx="101">
                  <c:v>72.128712303204182</c:v>
                </c:pt>
                <c:pt idx="102">
                  <c:v>73.578294295543742</c:v>
                </c:pt>
                <c:pt idx="103">
                  <c:v>75.041462755411374</c:v>
                </c:pt>
                <c:pt idx="104">
                  <c:v>76.518168744794778</c:v>
                </c:pt>
                <c:pt idx="105">
                  <c:v>78.00836311842717</c:v>
                </c:pt>
                <c:pt idx="106">
                  <c:v>79.511996525951048</c:v>
                </c:pt>
                <c:pt idx="107">
                  <c:v>81.029019414093682</c:v>
                </c:pt>
                <c:pt idx="108">
                  <c:v>82.559382028853761</c:v>
                </c:pt>
                <c:pt idx="109">
                  <c:v>84.10303441769895</c:v>
                </c:pt>
                <c:pt idx="110">
                  <c:v>85.659926431773883</c:v>
                </c:pt>
                <c:pt idx="111">
                  <c:v>87.23001192631898</c:v>
                </c:pt>
                <c:pt idx="112">
                  <c:v>88.813252966740635</c:v>
                </c:pt>
                <c:pt idx="113">
                  <c:v>90.409615637399767</c:v>
                </c:pt>
                <c:pt idx="114">
                  <c:v>92.01906584435514</c:v>
                </c:pt>
                <c:pt idx="115">
                  <c:v>93.64156931679392</c:v>
                </c:pt>
                <c:pt idx="116">
                  <c:v>95.277091608472546</c:v>
                </c:pt>
                <c:pt idx="117">
                  <c:v>96.925598099167672</c:v>
                </c:pt>
                <c:pt idx="118">
                  <c:v>98.587053996136902</c:v>
                </c:pt>
                <c:pt idx="119">
                  <c:v>100.26142433558914</c:v>
                </c:pt>
                <c:pt idx="120">
                  <c:v>101.94867398416433</c:v>
                </c:pt>
                <c:pt idx="121">
                  <c:v>103.64876066985023</c:v>
                </c:pt>
                <c:pt idx="122">
                  <c:v>105.3616280047659</c:v>
                </c:pt>
                <c:pt idx="123">
                  <c:v>107.08721245174156</c:v>
                </c:pt>
                <c:pt idx="124">
                  <c:v>108.8254502997507</c:v>
                </c:pt>
                <c:pt idx="125">
                  <c:v>110.57627766683351</c:v>
                </c:pt>
                <c:pt idx="126">
                  <c:v>112.33963050302273</c:v>
                </c:pt>
                <c:pt idx="127">
                  <c:v>114.11544459327139</c:v>
                </c:pt>
                <c:pt idx="128">
                  <c:v>115.90365556038202</c:v>
                </c:pt>
                <c:pt idx="129">
                  <c:v>117.70419886793688</c:v>
                </c:pt>
                <c:pt idx="130">
                  <c:v>119.51700982322879</c:v>
                </c:pt>
                <c:pt idx="131">
                  <c:v>121.34202175337278</c:v>
                </c:pt>
                <c:pt idx="132">
                  <c:v>123.17916417971402</c:v>
                </c:pt>
                <c:pt idx="133">
                  <c:v>125.0283646469301</c:v>
                </c:pt>
                <c:pt idx="134">
                  <c:v>126.88955055403305</c:v>
                </c:pt>
                <c:pt idx="135">
                  <c:v>128.76264915769033</c:v>
                </c:pt>
                <c:pt idx="136">
                  <c:v>130.64758757554105</c:v>
                </c:pt>
                <c:pt idx="137">
                  <c:v>132.5442927895073</c:v>
                </c:pt>
                <c:pt idx="138">
                  <c:v>134.45269164909971</c:v>
                </c:pt>
                <c:pt idx="139">
                  <c:v>136.37271087471717</c:v>
                </c:pt>
                <c:pt idx="140">
                  <c:v>138.30427706094005</c:v>
                </c:pt>
                <c:pt idx="141">
                  <c:v>140.24729481493463</c:v>
                </c:pt>
                <c:pt idx="142">
                  <c:v>142.20162488015424</c:v>
                </c:pt>
                <c:pt idx="143">
                  <c:v>144.16710600725878</c:v>
                </c:pt>
                <c:pt idx="144">
                  <c:v>146.14357684261009</c:v>
                </c:pt>
                <c:pt idx="145">
                  <c:v>148.13087593727192</c:v>
                </c:pt>
                <c:pt idx="146">
                  <c:v>150.12884175594004</c:v>
                </c:pt>
                <c:pt idx="147">
                  <c:v>152.13731268580099</c:v>
                </c:pt>
                <c:pt idx="148">
                  <c:v>154.15612704531819</c:v>
                </c:pt>
                <c:pt idx="149">
                  <c:v>156.18512309294394</c:v>
                </c:pt>
                <c:pt idx="150">
                  <c:v>158.22413903575611</c:v>
                </c:pt>
                <c:pt idx="151">
                  <c:v>160.27301303801812</c:v>
                </c:pt>
                <c:pt idx="152">
                  <c:v>162.33158322966094</c:v>
                </c:pt>
                <c:pt idx="153">
                  <c:v>164.39968771468605</c:v>
                </c:pt>
                <c:pt idx="154">
                  <c:v>166.47716457948809</c:v>
                </c:pt>
                <c:pt idx="155">
                  <c:v>168.56385190109609</c:v>
                </c:pt>
                <c:pt idx="156">
                  <c:v>170.65948406873861</c:v>
                </c:pt>
                <c:pt idx="157">
                  <c:v>172.76358810997405</c:v>
                </c:pt>
                <c:pt idx="158">
                  <c:v>174.87558752968414</c:v>
                </c:pt>
                <c:pt idx="159">
                  <c:v>176.99490617163832</c:v>
                </c:pt>
                <c:pt idx="160">
                  <c:v>179.1209682804064</c:v>
                </c:pt>
                <c:pt idx="161">
                  <c:v>181.25306670071873</c:v>
                </c:pt>
                <c:pt idx="162">
                  <c:v>183.39023118914014</c:v>
                </c:pt>
                <c:pt idx="163">
                  <c:v>185.53137327724281</c:v>
                </c:pt>
                <c:pt idx="164">
                  <c:v>187.67543107044997</c:v>
                </c:pt>
                <c:pt idx="165">
                  <c:v>189.82148279423609</c:v>
                </c:pt>
                <c:pt idx="166">
                  <c:v>191.96886013002424</c:v>
                </c:pt>
                <c:pt idx="167">
                  <c:v>194.11692611771124</c:v>
                </c:pt>
                <c:pt idx="168">
                  <c:v>196.26492268820803</c:v>
                </c:pt>
                <c:pt idx="169">
                  <c:v>198.41186894639603</c:v>
                </c:pt>
                <c:pt idx="170">
                  <c:v>200.5565290609434</c:v>
                </c:pt>
                <c:pt idx="171">
                  <c:v>202.69803915135117</c:v>
                </c:pt>
                <c:pt idx="172">
                  <c:v>204.83618618955552</c:v>
                </c:pt>
                <c:pt idx="173">
                  <c:v>206.97097811692322</c:v>
                </c:pt>
                <c:pt idx="174">
                  <c:v>209.10242284155143</c:v>
                </c:pt>
                <c:pt idx="175">
                  <c:v>211.23052823845293</c:v>
                </c:pt>
                <c:pt idx="176">
                  <c:v>213.35530214974031</c:v>
                </c:pt>
                <c:pt idx="177">
                  <c:v>215.47675238480855</c:v>
                </c:pt>
                <c:pt idx="178">
                  <c:v>217.5948867205166</c:v>
                </c:pt>
                <c:pt idx="179">
                  <c:v>219.70971290136751</c:v>
                </c:pt>
                <c:pt idx="180">
                  <c:v>221.82123863968746</c:v>
                </c:pt>
                <c:pt idx="181">
                  <c:v>223.92947161580332</c:v>
                </c:pt>
                <c:pt idx="182">
                  <c:v>226.03441947821921</c:v>
                </c:pt>
                <c:pt idx="183">
                  <c:v>228.13608984379167</c:v>
                </c:pt>
                <c:pt idx="184">
                  <c:v>230.23449029790373</c:v>
                </c:pt>
                <c:pt idx="185">
                  <c:v>232.32962839463764</c:v>
                </c:pt>
                <c:pt idx="186">
                  <c:v>234.42151165694651</c:v>
                </c:pt>
                <c:pt idx="187">
                  <c:v>236.51014757682478</c:v>
                </c:pt>
                <c:pt idx="188">
                  <c:v>238.59554361547742</c:v>
                </c:pt>
                <c:pt idx="189">
                  <c:v>240.67770720348804</c:v>
                </c:pt>
                <c:pt idx="190">
                  <c:v>242.75664574098573</c:v>
                </c:pt>
                <c:pt idx="191">
                  <c:v>244.83236659781096</c:v>
                </c:pt>
                <c:pt idx="192">
                  <c:v>246.90487711368016</c:v>
                </c:pt>
                <c:pt idx="193">
                  <c:v>248.97418459834918</c:v>
                </c:pt>
                <c:pt idx="194">
                  <c:v>251.04029633177583</c:v>
                </c:pt>
                <c:pt idx="195">
                  <c:v>253.10321956428098</c:v>
                </c:pt>
                <c:pt idx="196">
                  <c:v>255.16296151670886</c:v>
                </c:pt>
                <c:pt idx="197">
                  <c:v>257.21952938058615</c:v>
                </c:pt>
                <c:pt idx="198">
                  <c:v>259.27293031827998</c:v>
                </c:pt>
                <c:pt idx="199">
                  <c:v>261.32317146315472</c:v>
                </c:pt>
                <c:pt idx="200">
                  <c:v>263.37025991972808</c:v>
                </c:pt>
                <c:pt idx="201">
                  <c:v>283.66829468346327</c:v>
                </c:pt>
                <c:pt idx="202">
                  <c:v>303.65560741061989</c:v>
                </c:pt>
                <c:pt idx="203">
                  <c:v>323.33903236373135</c:v>
                </c:pt>
                <c:pt idx="204">
                  <c:v>342.72513496630921</c:v>
                </c:pt>
                <c:pt idx="205">
                  <c:v>361.82022568921786</c:v>
                </c:pt>
                <c:pt idx="206">
                  <c:v>380.63037304105472</c:v>
                </c:pt>
                <c:pt idx="207">
                  <c:v>399.16141573136991</c:v>
                </c:pt>
                <c:pt idx="208">
                  <c:v>417.41897406944025</c:v>
                </c:pt>
                <c:pt idx="209">
                  <c:v>435.40846065581081</c:v>
                </c:pt>
                <c:pt idx="210">
                  <c:v>453.1350904188613</c:v>
                </c:pt>
                <c:pt idx="211">
                  <c:v>470.6038900441842</c:v>
                </c:pt>
                <c:pt idx="212">
                  <c:v>487.81970684052635</c:v>
                </c:pt>
                <c:pt idx="213">
                  <c:v>504.78721708239391</c:v>
                </c:pt>
                <c:pt idx="214">
                  <c:v>521.51093386611592</c:v>
                </c:pt>
                <c:pt idx="215">
                  <c:v>537.99521451316571</c:v>
                </c:pt>
                <c:pt idx="216">
                  <c:v>554.24426755181798</c:v>
                </c:pt>
                <c:pt idx="217">
                  <c:v>570.26215930574847</c:v>
                </c:pt>
                <c:pt idx="218">
                  <c:v>586.05282011593454</c:v>
                </c:pt>
                <c:pt idx="219">
                  <c:v>601.62005022016444</c:v>
                </c:pt>
                <c:pt idx="220">
                  <c:v>616.96752531259722</c:v>
                </c:pt>
                <c:pt idx="221">
                  <c:v>632.09880180410789</c:v>
                </c:pt>
                <c:pt idx="222">
                  <c:v>647.01732180259648</c:v>
                </c:pt>
                <c:pt idx="223">
                  <c:v>661.72641783101085</c:v>
                </c:pt>
                <c:pt idx="224">
                  <c:v>676.22931729953143</c:v>
                </c:pt>
                <c:pt idx="225">
                  <c:v>690.52914674716646</c:v>
                </c:pt>
                <c:pt idx="226">
                  <c:v>704.62893586691018</c:v>
                </c:pt>
                <c:pt idx="227">
                  <c:v>718.53162132760872</c:v>
                </c:pt>
                <c:pt idx="228">
                  <c:v>732.24005040475038</c:v>
                </c:pt>
                <c:pt idx="229">
                  <c:v>745.75698443154556</c:v>
                </c:pt>
                <c:pt idx="230">
                  <c:v>759.08510208087625</c:v>
                </c:pt>
                <c:pt idx="231">
                  <c:v>772.22700248797207</c:v>
                </c:pt>
                <c:pt idx="232">
                  <c:v>785.18520822300138</c:v>
                </c:pt>
                <c:pt idx="233">
                  <c:v>797.96216812215118</c:v>
                </c:pt>
                <c:pt idx="234">
                  <c:v>810.56025998519976</c:v>
                </c:pt>
                <c:pt idx="235">
                  <c:v>822.98179314705976</c:v>
                </c:pt>
                <c:pt idx="236">
                  <c:v>835.22901093028247</c:v>
                </c:pt>
                <c:pt idx="237">
                  <c:v>847.30409298506368</c:v>
                </c:pt>
                <c:pt idx="238">
                  <c:v>859.20915752287192</c:v>
                </c:pt>
                <c:pt idx="239">
                  <c:v>870.94626344943447</c:v>
                </c:pt>
                <c:pt idx="240">
                  <c:v>882.51741240245531</c:v>
                </c:pt>
                <c:pt idx="241">
                  <c:v>893.92455069910454</c:v>
                </c:pt>
                <c:pt idx="242">
                  <c:v>905.169571198011</c:v>
                </c:pt>
                <c:pt idx="243">
                  <c:v>916.25431508019699</c:v>
                </c:pt>
                <c:pt idx="244">
                  <c:v>927.18057355312931</c:v>
                </c:pt>
                <c:pt idx="245">
                  <c:v>937.95008948180725</c:v>
                </c:pt>
                <c:pt idx="246">
                  <c:v>948.56455895057707</c:v>
                </c:pt>
                <c:pt idx="247">
                  <c:v>959.02563275914395</c:v>
                </c:pt>
                <c:pt idx="248">
                  <c:v>969.33491785604974</c:v>
                </c:pt>
                <c:pt idx="249">
                  <c:v>979.49397871269559</c:v>
                </c:pt>
                <c:pt idx="250">
                  <c:v>989.5043386408114</c:v>
                </c:pt>
                <c:pt idx="251">
                  <c:v>999.36748105610877</c:v>
                </c:pt>
                <c:pt idx="252">
                  <c:v>1009.0848506906991</c:v>
                </c:pt>
                <c:pt idx="253">
                  <c:v>1018.6578547567143</c:v>
                </c:pt>
                <c:pt idx="254">
                  <c:v>1028.0878640634319</c:v>
                </c:pt>
                <c:pt idx="255">
                  <c:v>1037.3762140900787</c:v>
                </c:pt>
                <c:pt idx="256">
                  <c:v>1046.5242060163703</c:v>
                </c:pt>
                <c:pt idx="257">
                  <c:v>1055.5331077127275</c:v>
                </c:pt>
                <c:pt idx="258">
                  <c:v>1064.4041546920148</c:v>
                </c:pt>
                <c:pt idx="259">
                  <c:v>1073.1385510245357</c:v>
                </c:pt>
                <c:pt idx="260">
                  <c:v>1081.7374702179393</c:v>
                </c:pt>
                <c:pt idx="261">
                  <c:v>1090.2020560635988</c:v>
                </c:pt>
                <c:pt idx="262">
                  <c:v>1098.5334234509421</c:v>
                </c:pt>
                <c:pt idx="263">
                  <c:v>1106.732659151141</c:v>
                </c:pt>
                <c:pt idx="264">
                  <c:v>1114.80082257149</c:v>
                </c:pt>
                <c:pt idx="265">
                  <c:v>1122.7389464817406</c:v>
                </c:pt>
                <c:pt idx="266">
                  <c:v>1130.5480377135914</c:v>
                </c:pt>
                <c:pt idx="267">
                  <c:v>1138.2290778344752</c:v>
                </c:pt>
                <c:pt idx="268">
                  <c:v>1145.7830237967282</c:v>
                </c:pt>
                <c:pt idx="269">
                  <c:v>1153.2108085631705</c:v>
                </c:pt>
                <c:pt idx="270">
                  <c:v>1160.5133417100819</c:v>
                </c:pt>
                <c:pt idx="271">
                  <c:v>1167.6915100085039</c:v>
                </c:pt>
                <c:pt idx="272">
                  <c:v>1174.7461779847579</c:v>
                </c:pt>
                <c:pt idx="273">
                  <c:v>1181.6781884610273</c:v>
                </c:pt>
                <c:pt idx="274">
                  <c:v>1188.4883630768104</c:v>
                </c:pt>
                <c:pt idx="275">
                  <c:v>1195.1775027920141</c:v>
                </c:pt>
                <c:pt idx="276">
                  <c:v>1201.7463883724231</c:v>
                </c:pt>
                <c:pt idx="277">
                  <c:v>1208.1957808582474</c:v>
                </c:pt>
                <c:pt idx="278">
                  <c:v>1214.5264220164181</c:v>
                </c:pt>
                <c:pt idx="279">
                  <c:v>1220.739034777273</c:v>
                </c:pt>
                <c:pt idx="280">
                  <c:v>1226.8343236562464</c:v>
                </c:pt>
                <c:pt idx="281">
                  <c:v>1232.8129751611496</c:v>
                </c:pt>
                <c:pt idx="282">
                  <c:v>1238.6756581856084</c:v>
                </c:pt>
                <c:pt idx="283">
                  <c:v>1244.4230243891961</c:v>
                </c:pt>
                <c:pt idx="284">
                  <c:v>1250.0557085647838</c:v>
                </c:pt>
                <c:pt idx="285">
                  <c:v>1255.5743289936074</c:v>
                </c:pt>
                <c:pt idx="286">
                  <c:v>1260.9794877885349</c:v>
                </c:pt>
                <c:pt idx="287">
                  <c:v>1266.2717712259966</c:v>
                </c:pt>
                <c:pt idx="288">
                  <c:v>1271.4517500670313</c:v>
                </c:pt>
                <c:pt idx="289">
                  <c:v>1276.5199798678821</c:v>
                </c:pt>
                <c:pt idx="290">
                  <c:v>1281.4770012805673</c:v>
                </c:pt>
                <c:pt idx="291">
                  <c:v>1286.3233403438369</c:v>
                </c:pt>
                <c:pt idx="292">
                  <c:v>1291.0595087649178</c:v>
                </c:pt>
                <c:pt idx="293">
                  <c:v>1295.6860041924433</c:v>
                </c:pt>
                <c:pt idx="294">
                  <c:v>1300.2033104809532</c:v>
                </c:pt>
                <c:pt idx="295">
                  <c:v>1304.6118979473474</c:v>
                </c:pt>
                <c:pt idx="296">
                  <c:v>1308.9122236196747</c:v>
                </c:pt>
                <c:pt idx="297">
                  <c:v>1313.1047314786308</c:v>
                </c:pt>
                <c:pt idx="298">
                  <c:v>1317.1898526921482</c:v>
                </c:pt>
                <c:pt idx="299">
                  <c:v>1321.1680058434563</c:v>
                </c:pt>
                <c:pt idx="300">
                  <c:v>1325.0395971529981</c:v>
                </c:pt>
                <c:pt idx="301">
                  <c:v>1328.8050206945975</c:v>
                </c:pt>
                <c:pt idx="302">
                  <c:v>1332.4646586062788</c:v>
                </c:pt>
                <c:pt idx="303">
                  <c:v>1336.0188812961553</c:v>
                </c:pt>
                <c:pt idx="304">
                  <c:v>1339.4680476438182</c:v>
                </c:pt>
                <c:pt idx="305">
                  <c:v>1342.8125051976776</c:v>
                </c:pt>
                <c:pt idx="306">
                  <c:v>1346.0525903687308</c:v>
                </c:pt>
                <c:pt idx="307">
                  <c:v>1349.1886286212577</c:v>
                </c:pt>
                <c:pt idx="308">
                  <c:v>1352.2209346609814</c:v>
                </c:pt>
                <c:pt idx="309">
                  <c:v>1355.1498126212621</c:v>
                </c:pt>
                <c:pt idx="310">
                  <c:v>1357.9755562479399</c:v>
                </c:pt>
                <c:pt idx="311">
                  <c:v>1360.6984490834884</c:v>
                </c:pt>
                <c:pt idx="312">
                  <c:v>1363.3187646511931</c:v>
                </c:pt>
                <c:pt idx="313">
                  <c:v>1365.8367666401339</c:v>
                </c:pt>
                <c:pt idx="314">
                  <c:v>1368.2527090918122</c:v>
                </c:pt>
                <c:pt idx="315">
                  <c:v>1370.5668365893418</c:v>
                </c:pt>
                <c:pt idx="316">
                  <c:v>1372.7793844501955</c:v>
                </c:pt>
                <c:pt idx="317">
                  <c:v>1374.890578923591</c:v>
                </c:pt>
                <c:pt idx="318">
                  <c:v>1376.9006373936827</c:v>
                </c:pt>
                <c:pt idx="319">
                  <c:v>1378.809768589821</c:v>
                </c:pt>
                <c:pt idx="320">
                  <c:v>1380.6181728052304</c:v>
                </c:pt>
                <c:pt idx="321">
                  <c:v>1382.3260421255441</c:v>
                </c:pt>
                <c:pt idx="322">
                  <c:v>1383.9335606687193</c:v>
                </c:pt>
                <c:pt idx="323">
                  <c:v>1385.4409048379175</c:v>
                </c:pt>
                <c:pt idx="324">
                  <c:v>1386.8482435889823</c:v>
                </c:pt>
                <c:pt idx="325">
                  <c:v>1388.1557387141709</c:v>
                </c:pt>
                <c:pt idx="326">
                  <c:v>1389.3635451437672</c:v>
                </c:pt>
                <c:pt idx="327">
                  <c:v>1390.4718112671424</c:v>
                </c:pt>
                <c:pt idx="328">
                  <c:v>1391.4806792746976</c:v>
                </c:pt>
                <c:pt idx="329">
                  <c:v>1392.390285521928</c:v>
                </c:pt>
                <c:pt idx="330">
                  <c:v>1393.2007609165682</c:v>
                </c:pt>
                <c:pt idx="331">
                  <c:v>1393.9122313294231</c:v>
                </c:pt>
                <c:pt idx="332">
                  <c:v>1394.5248180290334</c:v>
                </c:pt>
                <c:pt idx="333">
                  <c:v>1395.0386381398002</c:v>
                </c:pt>
                <c:pt idx="334">
                  <c:v>1395.4538051225873</c:v>
                </c:pt>
                <c:pt idx="335">
                  <c:v>1395.7704292761664</c:v>
                </c:pt>
                <c:pt idx="336">
                  <c:v>1395.9886182571956</c:v>
                </c:pt>
                <c:pt idx="337">
                  <c:v>1396.1084776157461</c:v>
                </c:pt>
                <c:pt idx="338">
                  <c:v>1396.1301113427789</c:v>
                </c:pt>
                <c:pt idx="339">
                  <c:v>1396.0536224254402</c:v>
                </c:pt>
                <c:pt idx="340">
                  <c:v>1395.8791134056396</c:v>
                </c:pt>
                <c:pt idx="341">
                  <c:v>1395.6066869371339</c:v>
                </c:pt>
                <c:pt idx="342">
                  <c:v>1395.236446336261</c:v>
                </c:pt>
                <c:pt idx="343">
                  <c:v>1394.7684961215878</c:v>
                </c:pt>
                <c:pt idx="344">
                  <c:v>1394.2029425380147</c:v>
                </c:pt>
                <c:pt idx="345">
                  <c:v>1393.5398940613209</c:v>
                </c:pt>
                <c:pt idx="346">
                  <c:v>1392.7794618796868</c:v>
                </c:pt>
                <c:pt idx="347">
                  <c:v>1391.9217603493701</c:v>
                </c:pt>
                <c:pt idx="348">
                  <c:v>1390.9669074223887</c:v>
                </c:pt>
                <c:pt idx="349">
                  <c:v>1389.915025044744</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4.25</c:v>
                </c:pt>
              </c:numCache>
            </c:numRef>
          </c:xVal>
          <c:yVal>
            <c:numRef>
              <c:f>Trajecto!$C$158</c:f>
              <c:numCache>
                <c:formatCode>0</c:formatCode>
                <c:ptCount val="1"/>
                <c:pt idx="0">
                  <c:v>694.38311976218256</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25.200000000000095</c:v>
                </c:pt>
              </c:numCache>
            </c:numRef>
          </c:xVal>
          <c:yVal>
            <c:numRef>
              <c:f>Trajecto!$C$159</c:f>
              <c:numCache>
                <c:formatCode>0</c:formatCode>
                <c:ptCount val="1"/>
                <c:pt idx="0">
                  <c:v>698.05423880787305</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Calculs!$Q$4:$Q$1004</c:f>
              <c:numCache>
                <c:formatCode>0.00</c:formatCode>
                <c:ptCount val="1001"/>
                <c:pt idx="0">
                  <c:v>0</c:v>
                </c:pt>
                <c:pt idx="1">
                  <c:v>246.125</c:v>
                </c:pt>
                <c:pt idx="2">
                  <c:v>930.85500000000002</c:v>
                </c:pt>
                <c:pt idx="3">
                  <c:v>1347.2183333333335</c:v>
                </c:pt>
                <c:pt idx="4">
                  <c:v>1302.7349999999999</c:v>
                </c:pt>
                <c:pt idx="5">
                  <c:v>1258.2516666666666</c:v>
                </c:pt>
                <c:pt idx="6">
                  <c:v>1240.356</c:v>
                </c:pt>
                <c:pt idx="7">
                  <c:v>1249.048</c:v>
                </c:pt>
                <c:pt idx="8">
                  <c:v>1257.74</c:v>
                </c:pt>
                <c:pt idx="9">
                  <c:v>1266.432</c:v>
                </c:pt>
                <c:pt idx="10">
                  <c:v>1275.124</c:v>
                </c:pt>
                <c:pt idx="11">
                  <c:v>1281.066</c:v>
                </c:pt>
                <c:pt idx="12">
                  <c:v>1284.258</c:v>
                </c:pt>
                <c:pt idx="13">
                  <c:v>1287.45</c:v>
                </c:pt>
                <c:pt idx="14">
                  <c:v>1290.6420000000001</c:v>
                </c:pt>
                <c:pt idx="15">
                  <c:v>1293.8340000000001</c:v>
                </c:pt>
                <c:pt idx="16">
                  <c:v>1297.0260000000001</c:v>
                </c:pt>
                <c:pt idx="17">
                  <c:v>1300.2180000000001</c:v>
                </c:pt>
                <c:pt idx="18">
                  <c:v>1303.4100000000001</c:v>
                </c:pt>
                <c:pt idx="19">
                  <c:v>1306.6020000000001</c:v>
                </c:pt>
                <c:pt idx="20">
                  <c:v>1309.7940000000001</c:v>
                </c:pt>
                <c:pt idx="21">
                  <c:v>1311.89</c:v>
                </c:pt>
                <c:pt idx="22">
                  <c:v>1312.89</c:v>
                </c:pt>
                <c:pt idx="23">
                  <c:v>1313.89</c:v>
                </c:pt>
                <c:pt idx="24">
                  <c:v>1314.89</c:v>
                </c:pt>
                <c:pt idx="25">
                  <c:v>1315.89</c:v>
                </c:pt>
                <c:pt idx="26">
                  <c:v>1316.89</c:v>
                </c:pt>
                <c:pt idx="27">
                  <c:v>1317.89</c:v>
                </c:pt>
                <c:pt idx="28">
                  <c:v>1318.89</c:v>
                </c:pt>
                <c:pt idx="29">
                  <c:v>1319.89</c:v>
                </c:pt>
                <c:pt idx="30">
                  <c:v>1320.89</c:v>
                </c:pt>
                <c:pt idx="31">
                  <c:v>1321.89</c:v>
                </c:pt>
                <c:pt idx="32">
                  <c:v>1322.89</c:v>
                </c:pt>
                <c:pt idx="33">
                  <c:v>1323.89</c:v>
                </c:pt>
                <c:pt idx="34">
                  <c:v>1324.89</c:v>
                </c:pt>
                <c:pt idx="35">
                  <c:v>1325.89</c:v>
                </c:pt>
                <c:pt idx="36">
                  <c:v>1326.89</c:v>
                </c:pt>
                <c:pt idx="37">
                  <c:v>1327.89</c:v>
                </c:pt>
                <c:pt idx="38">
                  <c:v>1328.89</c:v>
                </c:pt>
                <c:pt idx="39">
                  <c:v>1329.89</c:v>
                </c:pt>
                <c:pt idx="40">
                  <c:v>1330.89</c:v>
                </c:pt>
                <c:pt idx="41">
                  <c:v>1331.0486250000001</c:v>
                </c:pt>
                <c:pt idx="42">
                  <c:v>1330.3658750000002</c:v>
                </c:pt>
                <c:pt idx="43">
                  <c:v>1329.683125</c:v>
                </c:pt>
                <c:pt idx="44">
                  <c:v>1329.0003750000001</c:v>
                </c:pt>
                <c:pt idx="45">
                  <c:v>1328.3176250000001</c:v>
                </c:pt>
                <c:pt idx="46">
                  <c:v>1327.634875</c:v>
                </c:pt>
                <c:pt idx="47">
                  <c:v>1326.952125</c:v>
                </c:pt>
                <c:pt idx="48">
                  <c:v>1326.2693750000001</c:v>
                </c:pt>
                <c:pt idx="49">
                  <c:v>1325.5866250000001</c:v>
                </c:pt>
                <c:pt idx="50">
                  <c:v>1324.903875</c:v>
                </c:pt>
                <c:pt idx="51">
                  <c:v>1324.221125</c:v>
                </c:pt>
                <c:pt idx="52">
                  <c:v>1323.5383750000001</c:v>
                </c:pt>
                <c:pt idx="53">
                  <c:v>1322.8556249999999</c:v>
                </c:pt>
                <c:pt idx="54">
                  <c:v>1322.172875</c:v>
                </c:pt>
                <c:pt idx="55">
                  <c:v>1321.490125</c:v>
                </c:pt>
                <c:pt idx="56">
                  <c:v>1320.8073750000001</c:v>
                </c:pt>
                <c:pt idx="57">
                  <c:v>1320.1246249999999</c:v>
                </c:pt>
                <c:pt idx="58">
                  <c:v>1319.441875</c:v>
                </c:pt>
                <c:pt idx="59">
                  <c:v>1318.759125</c:v>
                </c:pt>
                <c:pt idx="60">
                  <c:v>1318.0763750000001</c:v>
                </c:pt>
                <c:pt idx="61">
                  <c:v>1317.3936249999999</c:v>
                </c:pt>
                <c:pt idx="62">
                  <c:v>1316.710875</c:v>
                </c:pt>
                <c:pt idx="63">
                  <c:v>1316.028125</c:v>
                </c:pt>
                <c:pt idx="64">
                  <c:v>1315.3453749999999</c:v>
                </c:pt>
                <c:pt idx="65">
                  <c:v>1314.6626249999999</c:v>
                </c:pt>
                <c:pt idx="66">
                  <c:v>1313.979875</c:v>
                </c:pt>
                <c:pt idx="67">
                  <c:v>1313.2971250000001</c:v>
                </c:pt>
                <c:pt idx="68">
                  <c:v>1312.6143749999999</c:v>
                </c:pt>
                <c:pt idx="69">
                  <c:v>1311.9316249999999</c:v>
                </c:pt>
                <c:pt idx="70">
                  <c:v>1311.248875</c:v>
                </c:pt>
                <c:pt idx="71">
                  <c:v>1310.5661249999998</c:v>
                </c:pt>
                <c:pt idx="72">
                  <c:v>1309.8833749999999</c:v>
                </c:pt>
                <c:pt idx="73">
                  <c:v>1309.2006249999999</c:v>
                </c:pt>
                <c:pt idx="74">
                  <c:v>1308.517875</c:v>
                </c:pt>
                <c:pt idx="75">
                  <c:v>1307.8351249999998</c:v>
                </c:pt>
                <c:pt idx="76">
                  <c:v>1307.1523749999999</c:v>
                </c:pt>
                <c:pt idx="77">
                  <c:v>1306.469625</c:v>
                </c:pt>
                <c:pt idx="78">
                  <c:v>1305.786875</c:v>
                </c:pt>
                <c:pt idx="79">
                  <c:v>1305.1041249999998</c:v>
                </c:pt>
                <c:pt idx="80">
                  <c:v>1304.4213749999999</c:v>
                </c:pt>
                <c:pt idx="81">
                  <c:v>1302.9069999999999</c:v>
                </c:pt>
                <c:pt idx="82">
                  <c:v>1300.5609999999999</c:v>
                </c:pt>
                <c:pt idx="83">
                  <c:v>1298.2149999999999</c:v>
                </c:pt>
                <c:pt idx="84">
                  <c:v>1295.8689999999997</c:v>
                </c:pt>
                <c:pt idx="85">
                  <c:v>1293.5229999999997</c:v>
                </c:pt>
                <c:pt idx="86">
                  <c:v>1291.1769999999997</c:v>
                </c:pt>
                <c:pt idx="87">
                  <c:v>1288.8309999999997</c:v>
                </c:pt>
                <c:pt idx="88">
                  <c:v>1286.4849999999997</c:v>
                </c:pt>
                <c:pt idx="89">
                  <c:v>1284.1389999999997</c:v>
                </c:pt>
                <c:pt idx="90">
                  <c:v>1281.7929999999997</c:v>
                </c:pt>
                <c:pt idx="91">
                  <c:v>1279.0819999999997</c:v>
                </c:pt>
                <c:pt idx="92">
                  <c:v>1276.0059999999996</c:v>
                </c:pt>
                <c:pt idx="93">
                  <c:v>1272.9299999999996</c:v>
                </c:pt>
                <c:pt idx="94">
                  <c:v>1269.8539999999998</c:v>
                </c:pt>
                <c:pt idx="95">
                  <c:v>1266.7779999999998</c:v>
                </c:pt>
                <c:pt idx="96">
                  <c:v>1263.7019999999998</c:v>
                </c:pt>
                <c:pt idx="97">
                  <c:v>1260.6259999999997</c:v>
                </c:pt>
                <c:pt idx="98">
                  <c:v>1257.5499999999997</c:v>
                </c:pt>
                <c:pt idx="99">
                  <c:v>1254.4739999999997</c:v>
                </c:pt>
                <c:pt idx="100">
                  <c:v>1251.3979999999997</c:v>
                </c:pt>
                <c:pt idx="101">
                  <c:v>1248.2639999999997</c:v>
                </c:pt>
                <c:pt idx="102">
                  <c:v>1245.0719999999997</c:v>
                </c:pt>
                <c:pt idx="103">
                  <c:v>1241.8799999999997</c:v>
                </c:pt>
                <c:pt idx="104">
                  <c:v>1238.6879999999996</c:v>
                </c:pt>
                <c:pt idx="105">
                  <c:v>1235.4959999999996</c:v>
                </c:pt>
                <c:pt idx="106">
                  <c:v>1232.3039999999996</c:v>
                </c:pt>
                <c:pt idx="107">
                  <c:v>1229.1119999999999</c:v>
                </c:pt>
                <c:pt idx="108">
                  <c:v>1225.9199999999998</c:v>
                </c:pt>
                <c:pt idx="109">
                  <c:v>1222.7279999999998</c:v>
                </c:pt>
                <c:pt idx="110">
                  <c:v>1219.5359999999998</c:v>
                </c:pt>
                <c:pt idx="111">
                  <c:v>1217.0074999999999</c:v>
                </c:pt>
                <c:pt idx="112">
                  <c:v>1215.1424999999999</c:v>
                </c:pt>
                <c:pt idx="113">
                  <c:v>1213.2774999999999</c:v>
                </c:pt>
                <c:pt idx="114">
                  <c:v>1211.4124999999999</c:v>
                </c:pt>
                <c:pt idx="115">
                  <c:v>1209.5474999999999</c:v>
                </c:pt>
                <c:pt idx="116">
                  <c:v>1207.6824999999999</c:v>
                </c:pt>
                <c:pt idx="117">
                  <c:v>1205.8174999999999</c:v>
                </c:pt>
                <c:pt idx="118">
                  <c:v>1203.9524999999999</c:v>
                </c:pt>
                <c:pt idx="119">
                  <c:v>1202.0874999999999</c:v>
                </c:pt>
                <c:pt idx="120">
                  <c:v>1200.2224999999999</c:v>
                </c:pt>
                <c:pt idx="121">
                  <c:v>1197.2639999999997</c:v>
                </c:pt>
                <c:pt idx="122">
                  <c:v>1193.2119999999995</c:v>
                </c:pt>
                <c:pt idx="123">
                  <c:v>1189.1599999999996</c:v>
                </c:pt>
                <c:pt idx="124">
                  <c:v>1185.1079999999995</c:v>
                </c:pt>
                <c:pt idx="125">
                  <c:v>1181.0559999999996</c:v>
                </c:pt>
                <c:pt idx="126">
                  <c:v>1177.0039999999997</c:v>
                </c:pt>
                <c:pt idx="127">
                  <c:v>1172.9519999999995</c:v>
                </c:pt>
                <c:pt idx="128">
                  <c:v>1168.8999999999996</c:v>
                </c:pt>
                <c:pt idx="129">
                  <c:v>1164.8479999999995</c:v>
                </c:pt>
                <c:pt idx="130">
                  <c:v>1160.7959999999996</c:v>
                </c:pt>
                <c:pt idx="131">
                  <c:v>1156.4594999999995</c:v>
                </c:pt>
                <c:pt idx="132">
                  <c:v>1151.8384999999994</c:v>
                </c:pt>
                <c:pt idx="133">
                  <c:v>1147.2174999999995</c:v>
                </c:pt>
                <c:pt idx="134">
                  <c:v>1142.5964999999994</c:v>
                </c:pt>
                <c:pt idx="135">
                  <c:v>1137.9754999999996</c:v>
                </c:pt>
                <c:pt idx="136">
                  <c:v>1133.3544999999995</c:v>
                </c:pt>
                <c:pt idx="137">
                  <c:v>1128.7334999999994</c:v>
                </c:pt>
                <c:pt idx="138">
                  <c:v>1124.1124999999995</c:v>
                </c:pt>
                <c:pt idx="139">
                  <c:v>1119.4914999999994</c:v>
                </c:pt>
                <c:pt idx="140">
                  <c:v>1114.8704999999993</c:v>
                </c:pt>
                <c:pt idx="141">
                  <c:v>1106.868333333332</c:v>
                </c:pt>
                <c:pt idx="142">
                  <c:v>1095.4849999999985</c:v>
                </c:pt>
                <c:pt idx="143">
                  <c:v>1084.1016666666653</c:v>
                </c:pt>
                <c:pt idx="144">
                  <c:v>1072.7183333333319</c:v>
                </c:pt>
                <c:pt idx="145">
                  <c:v>1061.3349999999984</c:v>
                </c:pt>
                <c:pt idx="146">
                  <c:v>1049.9516666666652</c:v>
                </c:pt>
                <c:pt idx="147">
                  <c:v>1038.5683333333318</c:v>
                </c:pt>
                <c:pt idx="148">
                  <c:v>1027.1849999999986</c:v>
                </c:pt>
                <c:pt idx="149">
                  <c:v>1015.8016666666653</c:v>
                </c:pt>
                <c:pt idx="150">
                  <c:v>1004.4183333333319</c:v>
                </c:pt>
                <c:pt idx="151">
                  <c:v>993.03499999999849</c:v>
                </c:pt>
                <c:pt idx="152">
                  <c:v>981.65166666666528</c:v>
                </c:pt>
                <c:pt idx="153">
                  <c:v>970.26833333333184</c:v>
                </c:pt>
                <c:pt idx="154">
                  <c:v>958.88499999999851</c:v>
                </c:pt>
                <c:pt idx="155">
                  <c:v>947.50166666666519</c:v>
                </c:pt>
                <c:pt idx="156">
                  <c:v>920.23599999999465</c:v>
                </c:pt>
                <c:pt idx="157">
                  <c:v>877.08799999999474</c:v>
                </c:pt>
                <c:pt idx="158">
                  <c:v>833.93999999999471</c:v>
                </c:pt>
                <c:pt idx="159">
                  <c:v>790.7919999999948</c:v>
                </c:pt>
                <c:pt idx="160">
                  <c:v>747.64399999999478</c:v>
                </c:pt>
                <c:pt idx="161">
                  <c:v>684.3449999999898</c:v>
                </c:pt>
                <c:pt idx="162">
                  <c:v>600.89499999998975</c:v>
                </c:pt>
                <c:pt idx="163">
                  <c:v>519.36499999998978</c:v>
                </c:pt>
                <c:pt idx="164">
                  <c:v>439.75499999998891</c:v>
                </c:pt>
                <c:pt idx="165">
                  <c:v>379.37749999999403</c:v>
                </c:pt>
                <c:pt idx="166">
                  <c:v>338.23249999999405</c:v>
                </c:pt>
                <c:pt idx="167">
                  <c:v>282.46999999998985</c:v>
                </c:pt>
                <c:pt idx="168">
                  <c:v>222.66499999999292</c:v>
                </c:pt>
                <c:pt idx="169">
                  <c:v>132.67499999998114</c:v>
                </c:pt>
                <c:pt idx="170">
                  <c:v>33.649999999990285</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Calculs!$T$4:$T$1004</c:f>
              <c:numCache>
                <c:formatCode>0.00</c:formatCode>
                <c:ptCount val="1001"/>
                <c:pt idx="0">
                  <c:v>83.012219999999999</c:v>
                </c:pt>
                <c:pt idx="1">
                  <c:v>83.000354448031828</c:v>
                </c:pt>
                <c:pt idx="2">
                  <c:v>82.955478436341252</c:v>
                </c:pt>
                <c:pt idx="3">
                  <c:v>82.89052977551178</c:v>
                </c:pt>
                <c:pt idx="4">
                  <c:v>82.827725631912926</c:v>
                </c:pt>
                <c:pt idx="5">
                  <c:v>82.767066005544677</c:v>
                </c:pt>
                <c:pt idx="6">
                  <c:v>82.70726911950284</c:v>
                </c:pt>
                <c:pt idx="7">
                  <c:v>82.64705319688322</c:v>
                </c:pt>
                <c:pt idx="8">
                  <c:v>82.58641823768582</c:v>
                </c:pt>
                <c:pt idx="9">
                  <c:v>82.525364241910623</c:v>
                </c:pt>
                <c:pt idx="10">
                  <c:v>82.463891209557659</c:v>
                </c:pt>
                <c:pt idx="11">
                  <c:v>82.402131716626542</c:v>
                </c:pt>
                <c:pt idx="12">
                  <c:v>82.34021833911693</c:v>
                </c:pt>
                <c:pt idx="13">
                  <c:v>82.278151077028824</c:v>
                </c:pt>
                <c:pt idx="14">
                  <c:v>82.215929930362222</c:v>
                </c:pt>
                <c:pt idx="15">
                  <c:v>82.153554899117125</c:v>
                </c:pt>
                <c:pt idx="16">
                  <c:v>82.09102598329352</c:v>
                </c:pt>
                <c:pt idx="17">
                  <c:v>82.028343182891433</c:v>
                </c:pt>
                <c:pt idx="18">
                  <c:v>81.965506497910823</c:v>
                </c:pt>
                <c:pt idx="19">
                  <c:v>81.902515928351747</c:v>
                </c:pt>
                <c:pt idx="20">
                  <c:v>81.839371474214175</c:v>
                </c:pt>
                <c:pt idx="21">
                  <c:v>81.776125973060132</c:v>
                </c:pt>
                <c:pt idx="22">
                  <c:v>81.712832262451684</c:v>
                </c:pt>
                <c:pt idx="23">
                  <c:v>81.649490342388802</c:v>
                </c:pt>
                <c:pt idx="24">
                  <c:v>81.586100212871514</c:v>
                </c:pt>
                <c:pt idx="25">
                  <c:v>81.522661873899807</c:v>
                </c:pt>
                <c:pt idx="26">
                  <c:v>81.459175325473694</c:v>
                </c:pt>
                <c:pt idx="27">
                  <c:v>81.395640567593162</c:v>
                </c:pt>
                <c:pt idx="28">
                  <c:v>81.33205760025821</c:v>
                </c:pt>
                <c:pt idx="29">
                  <c:v>81.268426423468853</c:v>
                </c:pt>
                <c:pt idx="30">
                  <c:v>81.204747037225061</c:v>
                </c:pt>
                <c:pt idx="31">
                  <c:v>81.141019441526865</c:v>
                </c:pt>
                <c:pt idx="32">
                  <c:v>81.077243636374234</c:v>
                </c:pt>
                <c:pt idx="33">
                  <c:v>81.013419621767198</c:v>
                </c:pt>
                <c:pt idx="34">
                  <c:v>80.949547397705757</c:v>
                </c:pt>
                <c:pt idx="35">
                  <c:v>80.885626964189896</c:v>
                </c:pt>
                <c:pt idx="36">
                  <c:v>80.821658321219616</c:v>
                </c:pt>
                <c:pt idx="37">
                  <c:v>80.757641468794915</c:v>
                </c:pt>
                <c:pt idx="38">
                  <c:v>80.693576406915795</c:v>
                </c:pt>
                <c:pt idx="39">
                  <c:v>80.62946313558227</c:v>
                </c:pt>
                <c:pt idx="40">
                  <c:v>80.565301654794311</c:v>
                </c:pt>
                <c:pt idx="41">
                  <c:v>80.50113252678166</c:v>
                </c:pt>
                <c:pt idx="42">
                  <c:v>80.436996313774003</c:v>
                </c:pt>
                <c:pt idx="43">
                  <c:v>80.372893015771353</c:v>
                </c:pt>
                <c:pt idx="44">
                  <c:v>80.308822632773712</c:v>
                </c:pt>
                <c:pt idx="45">
                  <c:v>80.244785164781078</c:v>
                </c:pt>
                <c:pt idx="46">
                  <c:v>80.180780611793423</c:v>
                </c:pt>
                <c:pt idx="47">
                  <c:v>80.116808973810791</c:v>
                </c:pt>
                <c:pt idx="48">
                  <c:v>80.052870250833152</c:v>
                </c:pt>
                <c:pt idx="49">
                  <c:v>79.988964442860521</c:v>
                </c:pt>
                <c:pt idx="50">
                  <c:v>79.925091549892883</c:v>
                </c:pt>
                <c:pt idx="51">
                  <c:v>79.861251571930268</c:v>
                </c:pt>
                <c:pt idx="52">
                  <c:v>79.797444508972632</c:v>
                </c:pt>
                <c:pt idx="53">
                  <c:v>79.733670361020003</c:v>
                </c:pt>
                <c:pt idx="54">
                  <c:v>79.669929128072383</c:v>
                </c:pt>
                <c:pt idx="55">
                  <c:v>79.60622081012977</c:v>
                </c:pt>
                <c:pt idx="56">
                  <c:v>79.542545407192165</c:v>
                </c:pt>
                <c:pt idx="57">
                  <c:v>79.478902919259554</c:v>
                </c:pt>
                <c:pt idx="58">
                  <c:v>79.415293346331936</c:v>
                </c:pt>
                <c:pt idx="59">
                  <c:v>79.351716688409326</c:v>
                </c:pt>
                <c:pt idx="60">
                  <c:v>79.288172945491723</c:v>
                </c:pt>
                <c:pt idx="61">
                  <c:v>79.224662117579129</c:v>
                </c:pt>
                <c:pt idx="62">
                  <c:v>79.161184204671528</c:v>
                </c:pt>
                <c:pt idx="63">
                  <c:v>79.097739206768949</c:v>
                </c:pt>
                <c:pt idx="64">
                  <c:v>79.03432712387135</c:v>
                </c:pt>
                <c:pt idx="65">
                  <c:v>78.970947955978744</c:v>
                </c:pt>
                <c:pt idx="66">
                  <c:v>78.90760170309116</c:v>
                </c:pt>
                <c:pt idx="67">
                  <c:v>78.84428836520857</c:v>
                </c:pt>
                <c:pt idx="68">
                  <c:v>78.781007942331001</c:v>
                </c:pt>
                <c:pt idx="69">
                  <c:v>78.717760434458427</c:v>
                </c:pt>
                <c:pt idx="70">
                  <c:v>78.654545841590846</c:v>
                </c:pt>
                <c:pt idx="71">
                  <c:v>78.591364163728258</c:v>
                </c:pt>
                <c:pt idx="72">
                  <c:v>78.528215400870693</c:v>
                </c:pt>
                <c:pt idx="73">
                  <c:v>78.465099553018121</c:v>
                </c:pt>
                <c:pt idx="74">
                  <c:v>78.402016620170556</c:v>
                </c:pt>
                <c:pt idx="75">
                  <c:v>78.338966602328</c:v>
                </c:pt>
                <c:pt idx="76">
                  <c:v>78.275949499490437</c:v>
                </c:pt>
                <c:pt idx="77">
                  <c:v>78.212965311657882</c:v>
                </c:pt>
                <c:pt idx="78">
                  <c:v>78.150014038830321</c:v>
                </c:pt>
                <c:pt idx="79">
                  <c:v>78.087095681007767</c:v>
                </c:pt>
                <c:pt idx="80">
                  <c:v>78.024210238190221</c:v>
                </c:pt>
                <c:pt idx="81">
                  <c:v>77.961397802565202</c:v>
                </c:pt>
                <c:pt idx="82">
                  <c:v>77.898698466320255</c:v>
                </c:pt>
                <c:pt idx="83">
                  <c:v>77.836112229455352</c:v>
                </c:pt>
                <c:pt idx="84">
                  <c:v>77.773639091970523</c:v>
                </c:pt>
                <c:pt idx="85">
                  <c:v>77.711279053865738</c:v>
                </c:pt>
                <c:pt idx="86">
                  <c:v>77.649032115141026</c:v>
                </c:pt>
                <c:pt idx="87">
                  <c:v>77.586898275796358</c:v>
                </c:pt>
                <c:pt idx="88">
                  <c:v>77.524877535831763</c:v>
                </c:pt>
                <c:pt idx="89">
                  <c:v>77.462969895247227</c:v>
                </c:pt>
                <c:pt idx="90">
                  <c:v>77.401175354042749</c:v>
                </c:pt>
                <c:pt idx="91">
                  <c:v>77.339511508669204</c:v>
                </c:pt>
                <c:pt idx="92">
                  <c:v>77.277995955577438</c:v>
                </c:pt>
                <c:pt idx="93">
                  <c:v>77.216628694767451</c:v>
                </c:pt>
                <c:pt idx="94">
                  <c:v>77.155409726239242</c:v>
                </c:pt>
                <c:pt idx="95">
                  <c:v>77.094339049992826</c:v>
                </c:pt>
                <c:pt idx="96">
                  <c:v>77.033416666028202</c:v>
                </c:pt>
                <c:pt idx="97">
                  <c:v>76.972642574345343</c:v>
                </c:pt>
                <c:pt idx="98">
                  <c:v>76.912016774944291</c:v>
                </c:pt>
                <c:pt idx="99">
                  <c:v>76.851539267825004</c:v>
                </c:pt>
                <c:pt idx="100">
                  <c:v>76.791210052987509</c:v>
                </c:pt>
                <c:pt idx="101">
                  <c:v>76.731031926580158</c:v>
                </c:pt>
                <c:pt idx="102">
                  <c:v>76.671007684751302</c:v>
                </c:pt>
                <c:pt idx="103">
                  <c:v>76.611137327500927</c:v>
                </c:pt>
                <c:pt idx="104">
                  <c:v>76.551420854829061</c:v>
                </c:pt>
                <c:pt idx="105">
                  <c:v>76.491858266735704</c:v>
                </c:pt>
                <c:pt idx="106">
                  <c:v>76.432449563220828</c:v>
                </c:pt>
                <c:pt idx="107">
                  <c:v>76.373194744284447</c:v>
                </c:pt>
                <c:pt idx="108">
                  <c:v>76.314093809926561</c:v>
                </c:pt>
                <c:pt idx="109">
                  <c:v>76.255146760147184</c:v>
                </c:pt>
                <c:pt idx="110">
                  <c:v>76.196353594946302</c:v>
                </c:pt>
                <c:pt idx="111">
                  <c:v>76.137682327350902</c:v>
                </c:pt>
                <c:pt idx="112">
                  <c:v>76.079100970387998</c:v>
                </c:pt>
                <c:pt idx="113">
                  <c:v>76.020609524057576</c:v>
                </c:pt>
                <c:pt idx="114">
                  <c:v>75.962207988359637</c:v>
                </c:pt>
                <c:pt idx="115">
                  <c:v>75.90389636329418</c:v>
                </c:pt>
                <c:pt idx="116">
                  <c:v>75.84567464886122</c:v>
                </c:pt>
                <c:pt idx="117">
                  <c:v>75.787542845060742</c:v>
                </c:pt>
                <c:pt idx="118">
                  <c:v>75.729500951892746</c:v>
                </c:pt>
                <c:pt idx="119">
                  <c:v>75.671548969357247</c:v>
                </c:pt>
                <c:pt idx="120">
                  <c:v>75.613686897454215</c:v>
                </c:pt>
                <c:pt idx="121">
                  <c:v>75.555967453222095</c:v>
                </c:pt>
                <c:pt idx="122">
                  <c:v>75.498443353699258</c:v>
                </c:pt>
                <c:pt idx="123">
                  <c:v>75.441114598885719</c:v>
                </c:pt>
                <c:pt idx="124">
                  <c:v>75.383981188781462</c:v>
                </c:pt>
                <c:pt idx="125">
                  <c:v>75.327043123386517</c:v>
                </c:pt>
                <c:pt idx="126">
                  <c:v>75.270300402700855</c:v>
                </c:pt>
                <c:pt idx="127">
                  <c:v>75.21375302672449</c:v>
                </c:pt>
                <c:pt idx="128">
                  <c:v>75.157400995457422</c:v>
                </c:pt>
                <c:pt idx="129">
                  <c:v>75.101244308899638</c:v>
                </c:pt>
                <c:pt idx="130">
                  <c:v>75.045282967051165</c:v>
                </c:pt>
                <c:pt idx="131">
                  <c:v>74.989530685501762</c:v>
                </c:pt>
                <c:pt idx="132">
                  <c:v>74.934001179841218</c:v>
                </c:pt>
                <c:pt idx="133">
                  <c:v>74.878694450069531</c:v>
                </c:pt>
                <c:pt idx="134">
                  <c:v>74.823610496186689</c:v>
                </c:pt>
                <c:pt idx="135">
                  <c:v>74.768749318192718</c:v>
                </c:pt>
                <c:pt idx="136">
                  <c:v>74.714110916087606</c:v>
                </c:pt>
                <c:pt idx="137">
                  <c:v>74.659695289871337</c:v>
                </c:pt>
                <c:pt idx="138">
                  <c:v>74.605502439543926</c:v>
                </c:pt>
                <c:pt idx="139">
                  <c:v>74.551532365105388</c:v>
                </c:pt>
                <c:pt idx="140">
                  <c:v>74.497785066555693</c:v>
                </c:pt>
                <c:pt idx="141">
                  <c:v>74.444423548095145</c:v>
                </c:pt>
                <c:pt idx="142">
                  <c:v>74.391610813924046</c:v>
                </c:pt>
                <c:pt idx="143">
                  <c:v>74.339346864042369</c:v>
                </c:pt>
                <c:pt idx="144">
                  <c:v>74.287631698450141</c:v>
                </c:pt>
                <c:pt idx="145">
                  <c:v>74.236465317147349</c:v>
                </c:pt>
                <c:pt idx="146">
                  <c:v>74.185847720133978</c:v>
                </c:pt>
                <c:pt idx="147">
                  <c:v>74.135778907410071</c:v>
                </c:pt>
                <c:pt idx="148">
                  <c:v>74.086258878975585</c:v>
                </c:pt>
                <c:pt idx="149">
                  <c:v>74.037287634830548</c:v>
                </c:pt>
                <c:pt idx="150">
                  <c:v>73.988865174974933</c:v>
                </c:pt>
                <c:pt idx="151">
                  <c:v>73.940991499408767</c:v>
                </c:pt>
                <c:pt idx="152">
                  <c:v>73.893666608132037</c:v>
                </c:pt>
                <c:pt idx="153">
                  <c:v>73.846890501144742</c:v>
                </c:pt>
                <c:pt idx="154">
                  <c:v>73.800663178446896</c:v>
                </c:pt>
                <c:pt idx="155">
                  <c:v>73.754984640038472</c:v>
                </c:pt>
                <c:pt idx="156">
                  <c:v>73.710620564544357</c:v>
                </c:pt>
                <c:pt idx="157">
                  <c:v>73.66833663058938</c:v>
                </c:pt>
                <c:pt idx="158">
                  <c:v>73.628132838173556</c:v>
                </c:pt>
                <c:pt idx="159">
                  <c:v>73.590009187296872</c:v>
                </c:pt>
                <c:pt idx="160">
                  <c:v>73.55396567795934</c:v>
                </c:pt>
                <c:pt idx="161">
                  <c:v>73.520973778876908</c:v>
                </c:pt>
                <c:pt idx="162">
                  <c:v>73.492004958765506</c:v>
                </c:pt>
                <c:pt idx="163">
                  <c:v>73.466966655472646</c:v>
                </c:pt>
                <c:pt idx="164">
                  <c:v>73.445766306845854</c:v>
                </c:pt>
                <c:pt idx="165">
                  <c:v>73.427476724553088</c:v>
                </c:pt>
                <c:pt idx="166">
                  <c:v>73.411170720262263</c:v>
                </c:pt>
                <c:pt idx="167">
                  <c:v>73.397552995673323</c:v>
                </c:pt>
                <c:pt idx="168">
                  <c:v>73.386818437505738</c:v>
                </c:pt>
                <c:pt idx="169">
                  <c:v>73.380422248141073</c:v>
                </c:pt>
                <c:pt idx="170">
                  <c:v>73.37879999999997</c:v>
                </c:pt>
                <c:pt idx="171">
                  <c:v>73.37879999999997</c:v>
                </c:pt>
                <c:pt idx="172">
                  <c:v>73.37879999999997</c:v>
                </c:pt>
                <c:pt idx="173">
                  <c:v>73.37879999999997</c:v>
                </c:pt>
                <c:pt idx="174">
                  <c:v>73.37879999999997</c:v>
                </c:pt>
                <c:pt idx="175">
                  <c:v>73.37879999999997</c:v>
                </c:pt>
                <c:pt idx="176">
                  <c:v>73.37879999999997</c:v>
                </c:pt>
                <c:pt idx="177">
                  <c:v>73.37879999999997</c:v>
                </c:pt>
                <c:pt idx="178">
                  <c:v>73.37879999999997</c:v>
                </c:pt>
                <c:pt idx="179">
                  <c:v>73.37879999999997</c:v>
                </c:pt>
                <c:pt idx="180">
                  <c:v>73.37879999999997</c:v>
                </c:pt>
                <c:pt idx="181">
                  <c:v>73.37879999999997</c:v>
                </c:pt>
                <c:pt idx="182">
                  <c:v>73.37879999999997</c:v>
                </c:pt>
                <c:pt idx="183">
                  <c:v>73.37879999999997</c:v>
                </c:pt>
                <c:pt idx="184">
                  <c:v>73.37879999999997</c:v>
                </c:pt>
                <c:pt idx="185">
                  <c:v>73.37879999999997</c:v>
                </c:pt>
                <c:pt idx="186">
                  <c:v>73.37879999999997</c:v>
                </c:pt>
                <c:pt idx="187">
                  <c:v>73.37879999999997</c:v>
                </c:pt>
                <c:pt idx="188">
                  <c:v>73.37879999999997</c:v>
                </c:pt>
                <c:pt idx="189">
                  <c:v>73.37879999999997</c:v>
                </c:pt>
                <c:pt idx="190">
                  <c:v>73.37879999999997</c:v>
                </c:pt>
                <c:pt idx="191">
                  <c:v>73.37879999999997</c:v>
                </c:pt>
                <c:pt idx="192">
                  <c:v>73.37879999999997</c:v>
                </c:pt>
                <c:pt idx="193">
                  <c:v>73.37879999999997</c:v>
                </c:pt>
                <c:pt idx="194">
                  <c:v>73.37879999999997</c:v>
                </c:pt>
                <c:pt idx="195">
                  <c:v>73.37879999999997</c:v>
                </c:pt>
                <c:pt idx="196">
                  <c:v>73.37879999999997</c:v>
                </c:pt>
                <c:pt idx="197">
                  <c:v>73.37879999999997</c:v>
                </c:pt>
                <c:pt idx="198">
                  <c:v>73.37879999999997</c:v>
                </c:pt>
                <c:pt idx="199">
                  <c:v>73.37879999999997</c:v>
                </c:pt>
                <c:pt idx="200">
                  <c:v>73.37879999999997</c:v>
                </c:pt>
                <c:pt idx="201">
                  <c:v>73.37879999999997</c:v>
                </c:pt>
                <c:pt idx="202">
                  <c:v>73.37879999999997</c:v>
                </c:pt>
                <c:pt idx="203">
                  <c:v>73.37879999999997</c:v>
                </c:pt>
                <c:pt idx="204">
                  <c:v>73.37879999999997</c:v>
                </c:pt>
                <c:pt idx="205">
                  <c:v>73.37879999999997</c:v>
                </c:pt>
                <c:pt idx="206">
                  <c:v>73.37879999999997</c:v>
                </c:pt>
                <c:pt idx="207">
                  <c:v>73.37879999999997</c:v>
                </c:pt>
                <c:pt idx="208">
                  <c:v>73.37879999999997</c:v>
                </c:pt>
                <c:pt idx="209">
                  <c:v>73.37879999999997</c:v>
                </c:pt>
                <c:pt idx="210">
                  <c:v>73.37879999999997</c:v>
                </c:pt>
                <c:pt idx="211">
                  <c:v>73.37879999999997</c:v>
                </c:pt>
                <c:pt idx="212">
                  <c:v>73.37879999999997</c:v>
                </c:pt>
                <c:pt idx="213">
                  <c:v>73.37879999999997</c:v>
                </c:pt>
                <c:pt idx="214">
                  <c:v>73.37879999999997</c:v>
                </c:pt>
                <c:pt idx="215">
                  <c:v>73.37879999999997</c:v>
                </c:pt>
                <c:pt idx="216">
                  <c:v>73.37879999999997</c:v>
                </c:pt>
                <c:pt idx="217">
                  <c:v>73.37879999999997</c:v>
                </c:pt>
                <c:pt idx="218">
                  <c:v>73.37879999999997</c:v>
                </c:pt>
                <c:pt idx="219">
                  <c:v>73.37879999999997</c:v>
                </c:pt>
                <c:pt idx="220">
                  <c:v>73.37879999999997</c:v>
                </c:pt>
                <c:pt idx="221">
                  <c:v>73.37879999999997</c:v>
                </c:pt>
                <c:pt idx="222">
                  <c:v>73.37879999999997</c:v>
                </c:pt>
                <c:pt idx="223">
                  <c:v>73.37879999999997</c:v>
                </c:pt>
                <c:pt idx="224">
                  <c:v>73.37879999999997</c:v>
                </c:pt>
                <c:pt idx="225">
                  <c:v>73.37879999999997</c:v>
                </c:pt>
                <c:pt idx="226">
                  <c:v>73.37879999999997</c:v>
                </c:pt>
                <c:pt idx="227">
                  <c:v>73.37879999999997</c:v>
                </c:pt>
                <c:pt idx="228">
                  <c:v>73.37879999999997</c:v>
                </c:pt>
                <c:pt idx="229">
                  <c:v>73.37879999999997</c:v>
                </c:pt>
                <c:pt idx="230">
                  <c:v>73.37879999999997</c:v>
                </c:pt>
                <c:pt idx="231">
                  <c:v>73.37879999999997</c:v>
                </c:pt>
                <c:pt idx="232">
                  <c:v>73.37879999999997</c:v>
                </c:pt>
                <c:pt idx="233">
                  <c:v>73.37879999999997</c:v>
                </c:pt>
                <c:pt idx="234">
                  <c:v>73.37879999999997</c:v>
                </c:pt>
                <c:pt idx="235">
                  <c:v>73.37879999999997</c:v>
                </c:pt>
                <c:pt idx="236">
                  <c:v>73.37879999999997</c:v>
                </c:pt>
                <c:pt idx="237">
                  <c:v>73.37879999999997</c:v>
                </c:pt>
                <c:pt idx="238">
                  <c:v>73.37879999999997</c:v>
                </c:pt>
                <c:pt idx="239">
                  <c:v>73.37879999999997</c:v>
                </c:pt>
                <c:pt idx="240">
                  <c:v>73.37879999999997</c:v>
                </c:pt>
                <c:pt idx="241">
                  <c:v>73.37879999999997</c:v>
                </c:pt>
                <c:pt idx="242">
                  <c:v>73.37879999999997</c:v>
                </c:pt>
                <c:pt idx="243">
                  <c:v>73.37879999999997</c:v>
                </c:pt>
                <c:pt idx="244">
                  <c:v>73.37879999999997</c:v>
                </c:pt>
                <c:pt idx="245">
                  <c:v>73.37879999999997</c:v>
                </c:pt>
                <c:pt idx="246">
                  <c:v>73.37879999999997</c:v>
                </c:pt>
                <c:pt idx="247">
                  <c:v>73.37879999999997</c:v>
                </c:pt>
                <c:pt idx="248">
                  <c:v>73.37879999999997</c:v>
                </c:pt>
                <c:pt idx="249">
                  <c:v>73.37879999999997</c:v>
                </c:pt>
                <c:pt idx="250">
                  <c:v>73.37879999999997</c:v>
                </c:pt>
                <c:pt idx="251">
                  <c:v>73.37879999999997</c:v>
                </c:pt>
                <c:pt idx="252">
                  <c:v>73.37879999999997</c:v>
                </c:pt>
                <c:pt idx="253">
                  <c:v>73.37879999999997</c:v>
                </c:pt>
                <c:pt idx="254">
                  <c:v>73.37879999999997</c:v>
                </c:pt>
                <c:pt idx="255">
                  <c:v>73.37879999999997</c:v>
                </c:pt>
                <c:pt idx="256">
                  <c:v>73.37879999999997</c:v>
                </c:pt>
                <c:pt idx="257">
                  <c:v>73.37879999999997</c:v>
                </c:pt>
                <c:pt idx="258">
                  <c:v>73.37879999999997</c:v>
                </c:pt>
                <c:pt idx="259">
                  <c:v>73.37879999999997</c:v>
                </c:pt>
                <c:pt idx="260">
                  <c:v>73.37879999999997</c:v>
                </c:pt>
                <c:pt idx="261">
                  <c:v>73.37879999999997</c:v>
                </c:pt>
                <c:pt idx="262">
                  <c:v>73.37879999999997</c:v>
                </c:pt>
                <c:pt idx="263">
                  <c:v>73.37879999999997</c:v>
                </c:pt>
                <c:pt idx="264">
                  <c:v>73.37879999999997</c:v>
                </c:pt>
                <c:pt idx="265">
                  <c:v>73.37879999999997</c:v>
                </c:pt>
                <c:pt idx="266">
                  <c:v>73.37879999999997</c:v>
                </c:pt>
                <c:pt idx="267">
                  <c:v>73.37879999999997</c:v>
                </c:pt>
                <c:pt idx="268">
                  <c:v>73.37879999999997</c:v>
                </c:pt>
                <c:pt idx="269">
                  <c:v>73.37879999999997</c:v>
                </c:pt>
                <c:pt idx="270">
                  <c:v>73.37879999999997</c:v>
                </c:pt>
                <c:pt idx="271">
                  <c:v>73.37879999999997</c:v>
                </c:pt>
                <c:pt idx="272">
                  <c:v>73.37879999999997</c:v>
                </c:pt>
                <c:pt idx="273">
                  <c:v>73.37879999999997</c:v>
                </c:pt>
                <c:pt idx="274">
                  <c:v>73.37879999999997</c:v>
                </c:pt>
                <c:pt idx="275">
                  <c:v>73.37879999999997</c:v>
                </c:pt>
                <c:pt idx="276">
                  <c:v>73.37879999999997</c:v>
                </c:pt>
                <c:pt idx="277">
                  <c:v>73.37879999999997</c:v>
                </c:pt>
                <c:pt idx="278">
                  <c:v>73.37879999999997</c:v>
                </c:pt>
                <c:pt idx="279">
                  <c:v>73.37879999999997</c:v>
                </c:pt>
                <c:pt idx="280">
                  <c:v>73.37879999999997</c:v>
                </c:pt>
                <c:pt idx="281">
                  <c:v>73.37879999999997</c:v>
                </c:pt>
                <c:pt idx="282">
                  <c:v>73.37879999999997</c:v>
                </c:pt>
                <c:pt idx="283">
                  <c:v>73.37879999999997</c:v>
                </c:pt>
                <c:pt idx="284">
                  <c:v>73.37879999999997</c:v>
                </c:pt>
                <c:pt idx="285">
                  <c:v>73.37879999999997</c:v>
                </c:pt>
                <c:pt idx="286">
                  <c:v>73.37879999999997</c:v>
                </c:pt>
                <c:pt idx="287">
                  <c:v>73.37879999999997</c:v>
                </c:pt>
                <c:pt idx="288">
                  <c:v>73.37879999999997</c:v>
                </c:pt>
                <c:pt idx="289">
                  <c:v>73.37879999999997</c:v>
                </c:pt>
                <c:pt idx="290">
                  <c:v>73.37879999999997</c:v>
                </c:pt>
                <c:pt idx="291">
                  <c:v>73.37879999999997</c:v>
                </c:pt>
                <c:pt idx="292">
                  <c:v>73.37879999999997</c:v>
                </c:pt>
                <c:pt idx="293">
                  <c:v>73.37879999999997</c:v>
                </c:pt>
                <c:pt idx="294">
                  <c:v>73.37879999999997</c:v>
                </c:pt>
                <c:pt idx="295">
                  <c:v>73.37879999999997</c:v>
                </c:pt>
                <c:pt idx="296">
                  <c:v>73.37879999999997</c:v>
                </c:pt>
                <c:pt idx="297">
                  <c:v>73.37879999999997</c:v>
                </c:pt>
                <c:pt idx="298">
                  <c:v>73.37879999999997</c:v>
                </c:pt>
                <c:pt idx="299">
                  <c:v>73.37879999999997</c:v>
                </c:pt>
                <c:pt idx="300">
                  <c:v>73.37879999999997</c:v>
                </c:pt>
                <c:pt idx="301">
                  <c:v>73.37879999999997</c:v>
                </c:pt>
                <c:pt idx="302">
                  <c:v>73.37879999999997</c:v>
                </c:pt>
                <c:pt idx="303">
                  <c:v>73.37879999999997</c:v>
                </c:pt>
                <c:pt idx="304">
                  <c:v>73.37879999999997</c:v>
                </c:pt>
                <c:pt idx="305">
                  <c:v>73.37879999999997</c:v>
                </c:pt>
                <c:pt idx="306">
                  <c:v>73.37879999999997</c:v>
                </c:pt>
                <c:pt idx="307">
                  <c:v>73.37879999999997</c:v>
                </c:pt>
                <c:pt idx="308">
                  <c:v>73.37879999999997</c:v>
                </c:pt>
                <c:pt idx="309">
                  <c:v>73.37879999999997</c:v>
                </c:pt>
                <c:pt idx="310">
                  <c:v>73.37879999999997</c:v>
                </c:pt>
                <c:pt idx="311">
                  <c:v>73.37879999999997</c:v>
                </c:pt>
                <c:pt idx="312">
                  <c:v>73.37879999999997</c:v>
                </c:pt>
                <c:pt idx="313">
                  <c:v>73.37879999999997</c:v>
                </c:pt>
                <c:pt idx="314">
                  <c:v>73.37879999999997</c:v>
                </c:pt>
                <c:pt idx="315">
                  <c:v>73.37879999999997</c:v>
                </c:pt>
                <c:pt idx="316">
                  <c:v>73.37879999999997</c:v>
                </c:pt>
                <c:pt idx="317">
                  <c:v>73.37879999999997</c:v>
                </c:pt>
                <c:pt idx="318">
                  <c:v>73.37879999999997</c:v>
                </c:pt>
                <c:pt idx="319">
                  <c:v>73.37879999999997</c:v>
                </c:pt>
                <c:pt idx="320">
                  <c:v>73.37879999999997</c:v>
                </c:pt>
                <c:pt idx="321">
                  <c:v>73.37879999999997</c:v>
                </c:pt>
                <c:pt idx="322">
                  <c:v>73.37879999999997</c:v>
                </c:pt>
                <c:pt idx="323">
                  <c:v>73.37879999999997</c:v>
                </c:pt>
                <c:pt idx="324">
                  <c:v>73.37879999999997</c:v>
                </c:pt>
                <c:pt idx="325">
                  <c:v>73.37879999999997</c:v>
                </c:pt>
                <c:pt idx="326">
                  <c:v>73.37879999999997</c:v>
                </c:pt>
                <c:pt idx="327">
                  <c:v>73.37879999999997</c:v>
                </c:pt>
                <c:pt idx="328">
                  <c:v>73.37879999999997</c:v>
                </c:pt>
                <c:pt idx="329">
                  <c:v>73.37879999999997</c:v>
                </c:pt>
                <c:pt idx="330">
                  <c:v>73.37879999999997</c:v>
                </c:pt>
                <c:pt idx="331">
                  <c:v>73.37879999999997</c:v>
                </c:pt>
                <c:pt idx="332">
                  <c:v>73.37879999999997</c:v>
                </c:pt>
                <c:pt idx="333">
                  <c:v>73.37879999999997</c:v>
                </c:pt>
                <c:pt idx="334">
                  <c:v>73.37879999999997</c:v>
                </c:pt>
                <c:pt idx="335">
                  <c:v>73.37879999999997</c:v>
                </c:pt>
                <c:pt idx="336">
                  <c:v>73.37879999999997</c:v>
                </c:pt>
                <c:pt idx="337">
                  <c:v>73.37879999999997</c:v>
                </c:pt>
                <c:pt idx="338">
                  <c:v>73.37879999999997</c:v>
                </c:pt>
                <c:pt idx="339">
                  <c:v>73.37879999999997</c:v>
                </c:pt>
                <c:pt idx="340">
                  <c:v>73.37879999999997</c:v>
                </c:pt>
                <c:pt idx="341">
                  <c:v>73.37879999999997</c:v>
                </c:pt>
                <c:pt idx="342">
                  <c:v>73.37879999999997</c:v>
                </c:pt>
                <c:pt idx="343">
                  <c:v>73.37879999999997</c:v>
                </c:pt>
                <c:pt idx="344">
                  <c:v>73.37879999999997</c:v>
                </c:pt>
                <c:pt idx="345">
                  <c:v>73.37879999999997</c:v>
                </c:pt>
                <c:pt idx="346">
                  <c:v>73.37879999999997</c:v>
                </c:pt>
                <c:pt idx="347">
                  <c:v>73.37879999999997</c:v>
                </c:pt>
                <c:pt idx="348">
                  <c:v>73.37879999999997</c:v>
                </c:pt>
                <c:pt idx="349">
                  <c:v>73.37879999999997</c:v>
                </c:pt>
                <c:pt idx="350">
                  <c:v>73.37879999999997</c:v>
                </c:pt>
                <c:pt idx="351">
                  <c:v>73.37879999999997</c:v>
                </c:pt>
                <c:pt idx="352">
                  <c:v>73.37879999999997</c:v>
                </c:pt>
                <c:pt idx="353">
                  <c:v>73.37879999999997</c:v>
                </c:pt>
                <c:pt idx="354">
                  <c:v>73.37879999999997</c:v>
                </c:pt>
                <c:pt idx="355">
                  <c:v>73.37879999999997</c:v>
                </c:pt>
                <c:pt idx="356">
                  <c:v>73.37879999999997</c:v>
                </c:pt>
                <c:pt idx="357">
                  <c:v>73.37879999999997</c:v>
                </c:pt>
                <c:pt idx="358">
                  <c:v>73.37879999999997</c:v>
                </c:pt>
                <c:pt idx="359">
                  <c:v>73.37879999999997</c:v>
                </c:pt>
                <c:pt idx="360">
                  <c:v>73.37879999999997</c:v>
                </c:pt>
                <c:pt idx="361">
                  <c:v>73.37879999999997</c:v>
                </c:pt>
                <c:pt idx="362">
                  <c:v>73.37879999999997</c:v>
                </c:pt>
                <c:pt idx="363">
                  <c:v>73.37879999999997</c:v>
                </c:pt>
                <c:pt idx="364">
                  <c:v>73.37879999999997</c:v>
                </c:pt>
                <c:pt idx="365">
                  <c:v>73.37879999999997</c:v>
                </c:pt>
                <c:pt idx="366">
                  <c:v>73.37879999999997</c:v>
                </c:pt>
                <c:pt idx="367">
                  <c:v>73.37879999999997</c:v>
                </c:pt>
                <c:pt idx="368">
                  <c:v>73.37879999999997</c:v>
                </c:pt>
                <c:pt idx="369">
                  <c:v>73.37879999999997</c:v>
                </c:pt>
                <c:pt idx="370">
                  <c:v>73.37879999999997</c:v>
                </c:pt>
                <c:pt idx="371">
                  <c:v>73.37879999999997</c:v>
                </c:pt>
                <c:pt idx="372">
                  <c:v>73.37879999999997</c:v>
                </c:pt>
                <c:pt idx="373">
                  <c:v>73.37879999999997</c:v>
                </c:pt>
                <c:pt idx="374">
                  <c:v>73.37879999999997</c:v>
                </c:pt>
                <c:pt idx="375">
                  <c:v>73.37879999999997</c:v>
                </c:pt>
                <c:pt idx="376">
                  <c:v>73.37879999999997</c:v>
                </c:pt>
                <c:pt idx="377">
                  <c:v>73.37879999999997</c:v>
                </c:pt>
                <c:pt idx="378">
                  <c:v>73.37879999999997</c:v>
                </c:pt>
                <c:pt idx="379">
                  <c:v>73.37879999999997</c:v>
                </c:pt>
                <c:pt idx="380">
                  <c:v>73.37879999999997</c:v>
                </c:pt>
                <c:pt idx="381">
                  <c:v>73.37879999999997</c:v>
                </c:pt>
                <c:pt idx="382">
                  <c:v>73.37879999999997</c:v>
                </c:pt>
                <c:pt idx="383">
                  <c:v>73.37879999999997</c:v>
                </c:pt>
                <c:pt idx="384">
                  <c:v>73.37879999999997</c:v>
                </c:pt>
                <c:pt idx="385">
                  <c:v>73.37879999999997</c:v>
                </c:pt>
                <c:pt idx="386">
                  <c:v>73.37879999999997</c:v>
                </c:pt>
                <c:pt idx="387">
                  <c:v>73.37879999999997</c:v>
                </c:pt>
                <c:pt idx="388">
                  <c:v>73.37879999999997</c:v>
                </c:pt>
                <c:pt idx="389">
                  <c:v>73.37879999999997</c:v>
                </c:pt>
                <c:pt idx="390">
                  <c:v>73.37879999999997</c:v>
                </c:pt>
                <c:pt idx="391">
                  <c:v>73.37879999999997</c:v>
                </c:pt>
                <c:pt idx="392">
                  <c:v>73.37879999999997</c:v>
                </c:pt>
                <c:pt idx="393">
                  <c:v>73.37879999999997</c:v>
                </c:pt>
                <c:pt idx="394">
                  <c:v>73.37879999999997</c:v>
                </c:pt>
                <c:pt idx="395">
                  <c:v>73.37879999999997</c:v>
                </c:pt>
                <c:pt idx="396">
                  <c:v>73.37879999999997</c:v>
                </c:pt>
                <c:pt idx="397">
                  <c:v>73.37879999999997</c:v>
                </c:pt>
                <c:pt idx="398">
                  <c:v>73.37879999999997</c:v>
                </c:pt>
                <c:pt idx="399">
                  <c:v>73.37879999999997</c:v>
                </c:pt>
                <c:pt idx="400">
                  <c:v>73.37879999999997</c:v>
                </c:pt>
                <c:pt idx="401">
                  <c:v>73.37879999999997</c:v>
                </c:pt>
                <c:pt idx="402">
                  <c:v>73.37879999999997</c:v>
                </c:pt>
                <c:pt idx="403">
                  <c:v>73.37879999999997</c:v>
                </c:pt>
                <c:pt idx="404">
                  <c:v>73.37879999999997</c:v>
                </c:pt>
                <c:pt idx="405">
                  <c:v>73.37879999999997</c:v>
                </c:pt>
                <c:pt idx="406">
                  <c:v>73.37879999999997</c:v>
                </c:pt>
                <c:pt idx="407">
                  <c:v>73.37879999999997</c:v>
                </c:pt>
                <c:pt idx="408">
                  <c:v>73.37879999999997</c:v>
                </c:pt>
                <c:pt idx="409">
                  <c:v>73.37879999999997</c:v>
                </c:pt>
                <c:pt idx="410">
                  <c:v>73.37879999999997</c:v>
                </c:pt>
                <c:pt idx="411">
                  <c:v>73.37879999999997</c:v>
                </c:pt>
                <c:pt idx="412">
                  <c:v>73.37879999999997</c:v>
                </c:pt>
                <c:pt idx="413">
                  <c:v>73.37879999999997</c:v>
                </c:pt>
                <c:pt idx="414">
                  <c:v>73.37879999999997</c:v>
                </c:pt>
                <c:pt idx="415">
                  <c:v>73.37879999999997</c:v>
                </c:pt>
                <c:pt idx="416">
                  <c:v>73.37879999999997</c:v>
                </c:pt>
                <c:pt idx="417">
                  <c:v>73.37879999999997</c:v>
                </c:pt>
                <c:pt idx="418">
                  <c:v>73.37879999999997</c:v>
                </c:pt>
                <c:pt idx="419">
                  <c:v>73.37879999999997</c:v>
                </c:pt>
                <c:pt idx="420">
                  <c:v>73.37879999999997</c:v>
                </c:pt>
                <c:pt idx="421">
                  <c:v>73.37879999999997</c:v>
                </c:pt>
                <c:pt idx="422">
                  <c:v>73.37879999999997</c:v>
                </c:pt>
                <c:pt idx="423">
                  <c:v>73.37879999999997</c:v>
                </c:pt>
                <c:pt idx="424">
                  <c:v>73.37879999999997</c:v>
                </c:pt>
                <c:pt idx="425">
                  <c:v>73.37879999999997</c:v>
                </c:pt>
                <c:pt idx="426">
                  <c:v>73.37879999999997</c:v>
                </c:pt>
                <c:pt idx="427">
                  <c:v>73.37879999999997</c:v>
                </c:pt>
                <c:pt idx="428">
                  <c:v>73.37879999999997</c:v>
                </c:pt>
                <c:pt idx="429">
                  <c:v>73.37879999999997</c:v>
                </c:pt>
                <c:pt idx="430">
                  <c:v>73.37879999999997</c:v>
                </c:pt>
                <c:pt idx="431">
                  <c:v>73.37879999999997</c:v>
                </c:pt>
                <c:pt idx="432">
                  <c:v>73.37879999999997</c:v>
                </c:pt>
                <c:pt idx="433">
                  <c:v>73.37879999999997</c:v>
                </c:pt>
                <c:pt idx="434">
                  <c:v>73.37879999999997</c:v>
                </c:pt>
                <c:pt idx="435">
                  <c:v>73.37879999999997</c:v>
                </c:pt>
                <c:pt idx="436">
                  <c:v>73.37879999999997</c:v>
                </c:pt>
                <c:pt idx="437">
                  <c:v>73.37879999999997</c:v>
                </c:pt>
                <c:pt idx="438">
                  <c:v>73.37879999999997</c:v>
                </c:pt>
                <c:pt idx="439">
                  <c:v>73.37879999999997</c:v>
                </c:pt>
                <c:pt idx="440">
                  <c:v>73.37879999999997</c:v>
                </c:pt>
                <c:pt idx="441">
                  <c:v>73.37879999999997</c:v>
                </c:pt>
                <c:pt idx="442">
                  <c:v>73.37879999999997</c:v>
                </c:pt>
                <c:pt idx="443">
                  <c:v>73.37879999999997</c:v>
                </c:pt>
                <c:pt idx="444">
                  <c:v>73.37879999999997</c:v>
                </c:pt>
                <c:pt idx="445">
                  <c:v>73.37879999999997</c:v>
                </c:pt>
                <c:pt idx="446">
                  <c:v>73.37879999999997</c:v>
                </c:pt>
                <c:pt idx="447">
                  <c:v>73.37879999999997</c:v>
                </c:pt>
                <c:pt idx="448">
                  <c:v>73.37879999999997</c:v>
                </c:pt>
                <c:pt idx="449">
                  <c:v>73.37879999999997</c:v>
                </c:pt>
                <c:pt idx="450">
                  <c:v>73.37879999999997</c:v>
                </c:pt>
                <c:pt idx="451">
                  <c:v>73.37879999999997</c:v>
                </c:pt>
                <c:pt idx="452">
                  <c:v>73.37879999999997</c:v>
                </c:pt>
                <c:pt idx="453">
                  <c:v>73.37879999999997</c:v>
                </c:pt>
                <c:pt idx="454">
                  <c:v>73.37879999999997</c:v>
                </c:pt>
                <c:pt idx="455">
                  <c:v>73.37879999999997</c:v>
                </c:pt>
                <c:pt idx="456">
                  <c:v>73.37879999999997</c:v>
                </c:pt>
                <c:pt idx="457">
                  <c:v>73.37879999999997</c:v>
                </c:pt>
                <c:pt idx="458">
                  <c:v>73.37879999999997</c:v>
                </c:pt>
                <c:pt idx="459">
                  <c:v>73.37879999999997</c:v>
                </c:pt>
                <c:pt idx="460">
                  <c:v>73.37879999999997</c:v>
                </c:pt>
                <c:pt idx="461">
                  <c:v>73.37879999999997</c:v>
                </c:pt>
                <c:pt idx="462">
                  <c:v>73.37879999999997</c:v>
                </c:pt>
                <c:pt idx="463">
                  <c:v>73.37879999999997</c:v>
                </c:pt>
                <c:pt idx="464">
                  <c:v>73.37879999999997</c:v>
                </c:pt>
                <c:pt idx="465">
                  <c:v>73.37879999999997</c:v>
                </c:pt>
                <c:pt idx="466">
                  <c:v>73.37879999999997</c:v>
                </c:pt>
                <c:pt idx="467">
                  <c:v>73.37879999999997</c:v>
                </c:pt>
                <c:pt idx="468">
                  <c:v>73.37879999999997</c:v>
                </c:pt>
                <c:pt idx="469">
                  <c:v>73.37879999999997</c:v>
                </c:pt>
                <c:pt idx="470">
                  <c:v>73.37879999999997</c:v>
                </c:pt>
                <c:pt idx="471">
                  <c:v>73.37879999999997</c:v>
                </c:pt>
                <c:pt idx="472">
                  <c:v>73.37879999999997</c:v>
                </c:pt>
                <c:pt idx="473">
                  <c:v>73.37879999999997</c:v>
                </c:pt>
                <c:pt idx="474">
                  <c:v>73.37879999999997</c:v>
                </c:pt>
                <c:pt idx="475">
                  <c:v>73.37879999999997</c:v>
                </c:pt>
                <c:pt idx="476">
                  <c:v>73.37879999999997</c:v>
                </c:pt>
                <c:pt idx="477">
                  <c:v>73.37879999999997</c:v>
                </c:pt>
                <c:pt idx="478">
                  <c:v>73.37879999999997</c:v>
                </c:pt>
                <c:pt idx="479">
                  <c:v>73.37879999999997</c:v>
                </c:pt>
                <c:pt idx="480">
                  <c:v>73.37879999999997</c:v>
                </c:pt>
                <c:pt idx="481">
                  <c:v>73.37879999999997</c:v>
                </c:pt>
                <c:pt idx="482">
                  <c:v>73.37879999999997</c:v>
                </c:pt>
                <c:pt idx="483">
                  <c:v>73.37879999999997</c:v>
                </c:pt>
                <c:pt idx="484">
                  <c:v>73.37879999999997</c:v>
                </c:pt>
                <c:pt idx="485">
                  <c:v>73.37879999999997</c:v>
                </c:pt>
                <c:pt idx="486">
                  <c:v>73.37879999999997</c:v>
                </c:pt>
                <c:pt idx="487">
                  <c:v>73.37879999999997</c:v>
                </c:pt>
                <c:pt idx="488">
                  <c:v>73.37879999999997</c:v>
                </c:pt>
                <c:pt idx="489">
                  <c:v>73.37879999999997</c:v>
                </c:pt>
                <c:pt idx="490">
                  <c:v>73.37879999999997</c:v>
                </c:pt>
                <c:pt idx="491">
                  <c:v>73.37879999999997</c:v>
                </c:pt>
                <c:pt idx="492">
                  <c:v>73.37879999999997</c:v>
                </c:pt>
                <c:pt idx="493">
                  <c:v>73.37879999999997</c:v>
                </c:pt>
                <c:pt idx="494">
                  <c:v>73.37879999999997</c:v>
                </c:pt>
                <c:pt idx="495">
                  <c:v>73.37879999999997</c:v>
                </c:pt>
                <c:pt idx="496">
                  <c:v>73.37879999999997</c:v>
                </c:pt>
                <c:pt idx="497">
                  <c:v>73.37879999999997</c:v>
                </c:pt>
                <c:pt idx="498">
                  <c:v>73.37879999999997</c:v>
                </c:pt>
                <c:pt idx="499">
                  <c:v>73.37879999999997</c:v>
                </c:pt>
                <c:pt idx="500">
                  <c:v>73.37879999999997</c:v>
                </c:pt>
                <c:pt idx="501">
                  <c:v>73.37879999999997</c:v>
                </c:pt>
                <c:pt idx="502">
                  <c:v>73.37879999999997</c:v>
                </c:pt>
                <c:pt idx="503">
                  <c:v>73.37879999999997</c:v>
                </c:pt>
                <c:pt idx="504">
                  <c:v>73.37879999999997</c:v>
                </c:pt>
                <c:pt idx="505">
                  <c:v>73.37879999999997</c:v>
                </c:pt>
                <c:pt idx="506">
                  <c:v>73.37879999999997</c:v>
                </c:pt>
                <c:pt idx="507">
                  <c:v>73.37879999999997</c:v>
                </c:pt>
                <c:pt idx="508">
                  <c:v>73.37879999999997</c:v>
                </c:pt>
                <c:pt idx="509">
                  <c:v>73.37879999999997</c:v>
                </c:pt>
                <c:pt idx="510">
                  <c:v>73.37879999999997</c:v>
                </c:pt>
                <c:pt idx="511">
                  <c:v>73.37879999999997</c:v>
                </c:pt>
                <c:pt idx="512">
                  <c:v>73.37879999999997</c:v>
                </c:pt>
                <c:pt idx="513">
                  <c:v>73.37879999999997</c:v>
                </c:pt>
                <c:pt idx="514">
                  <c:v>73.37879999999997</c:v>
                </c:pt>
                <c:pt idx="515">
                  <c:v>73.37879999999997</c:v>
                </c:pt>
                <c:pt idx="516">
                  <c:v>73.37879999999997</c:v>
                </c:pt>
                <c:pt idx="517">
                  <c:v>73.37879999999997</c:v>
                </c:pt>
                <c:pt idx="518">
                  <c:v>73.37879999999997</c:v>
                </c:pt>
                <c:pt idx="519">
                  <c:v>73.37879999999997</c:v>
                </c:pt>
                <c:pt idx="520">
                  <c:v>73.37879999999997</c:v>
                </c:pt>
                <c:pt idx="521">
                  <c:v>73.37879999999997</c:v>
                </c:pt>
                <c:pt idx="522">
                  <c:v>73.37879999999997</c:v>
                </c:pt>
                <c:pt idx="523">
                  <c:v>73.37879999999997</c:v>
                </c:pt>
                <c:pt idx="524">
                  <c:v>73.37879999999997</c:v>
                </c:pt>
                <c:pt idx="525">
                  <c:v>73.37879999999997</c:v>
                </c:pt>
                <c:pt idx="526">
                  <c:v>73.37879999999997</c:v>
                </c:pt>
                <c:pt idx="527">
                  <c:v>73.37879999999997</c:v>
                </c:pt>
                <c:pt idx="528">
                  <c:v>73.37879999999997</c:v>
                </c:pt>
                <c:pt idx="529">
                  <c:v>73.37879999999997</c:v>
                </c:pt>
                <c:pt idx="530">
                  <c:v>73.37879999999997</c:v>
                </c:pt>
                <c:pt idx="531">
                  <c:v>73.37879999999997</c:v>
                </c:pt>
                <c:pt idx="532">
                  <c:v>73.37879999999997</c:v>
                </c:pt>
                <c:pt idx="533">
                  <c:v>73.37879999999997</c:v>
                </c:pt>
                <c:pt idx="534">
                  <c:v>73.37879999999997</c:v>
                </c:pt>
                <c:pt idx="535">
                  <c:v>73.37879999999997</c:v>
                </c:pt>
                <c:pt idx="536">
                  <c:v>73.37879999999997</c:v>
                </c:pt>
                <c:pt idx="537">
                  <c:v>73.37879999999997</c:v>
                </c:pt>
                <c:pt idx="538">
                  <c:v>73.37879999999997</c:v>
                </c:pt>
                <c:pt idx="539">
                  <c:v>73.37879999999997</c:v>
                </c:pt>
                <c:pt idx="540">
                  <c:v>73.37879999999997</c:v>
                </c:pt>
                <c:pt idx="541">
                  <c:v>73.37879999999997</c:v>
                </c:pt>
                <c:pt idx="542">
                  <c:v>73.37879999999997</c:v>
                </c:pt>
                <c:pt idx="543">
                  <c:v>73.37879999999997</c:v>
                </c:pt>
                <c:pt idx="544">
                  <c:v>73.37879999999997</c:v>
                </c:pt>
                <c:pt idx="545">
                  <c:v>73.37879999999997</c:v>
                </c:pt>
                <c:pt idx="546">
                  <c:v>73.37879999999997</c:v>
                </c:pt>
                <c:pt idx="547">
                  <c:v>73.37879999999997</c:v>
                </c:pt>
                <c:pt idx="548">
                  <c:v>73.37879999999997</c:v>
                </c:pt>
                <c:pt idx="549">
                  <c:v>73.37879999999997</c:v>
                </c:pt>
                <c:pt idx="550">
                  <c:v>73.37879999999997</c:v>
                </c:pt>
                <c:pt idx="551">
                  <c:v>73.37879999999997</c:v>
                </c:pt>
                <c:pt idx="552">
                  <c:v>73.37879999999997</c:v>
                </c:pt>
                <c:pt idx="553">
                  <c:v>73.37879999999997</c:v>
                </c:pt>
                <c:pt idx="554">
                  <c:v>73.37879999999997</c:v>
                </c:pt>
                <c:pt idx="555">
                  <c:v>73.37879999999997</c:v>
                </c:pt>
                <c:pt idx="556">
                  <c:v>73.37879999999997</c:v>
                </c:pt>
                <c:pt idx="557">
                  <c:v>73.37879999999997</c:v>
                </c:pt>
                <c:pt idx="558">
                  <c:v>73.37879999999997</c:v>
                </c:pt>
                <c:pt idx="559">
                  <c:v>73.37879999999997</c:v>
                </c:pt>
                <c:pt idx="560">
                  <c:v>73.37879999999997</c:v>
                </c:pt>
                <c:pt idx="561">
                  <c:v>73.37879999999997</c:v>
                </c:pt>
                <c:pt idx="562">
                  <c:v>73.37879999999997</c:v>
                </c:pt>
                <c:pt idx="563">
                  <c:v>73.37879999999997</c:v>
                </c:pt>
                <c:pt idx="564">
                  <c:v>73.37879999999997</c:v>
                </c:pt>
                <c:pt idx="565">
                  <c:v>73.37879999999997</c:v>
                </c:pt>
                <c:pt idx="566">
                  <c:v>73.37879999999997</c:v>
                </c:pt>
                <c:pt idx="567">
                  <c:v>73.37879999999997</c:v>
                </c:pt>
                <c:pt idx="568">
                  <c:v>73.37879999999997</c:v>
                </c:pt>
                <c:pt idx="569">
                  <c:v>73.37879999999997</c:v>
                </c:pt>
                <c:pt idx="570">
                  <c:v>73.37879999999997</c:v>
                </c:pt>
                <c:pt idx="571">
                  <c:v>73.37879999999997</c:v>
                </c:pt>
                <c:pt idx="572">
                  <c:v>73.37879999999997</c:v>
                </c:pt>
                <c:pt idx="573">
                  <c:v>73.37879999999997</c:v>
                </c:pt>
                <c:pt idx="574">
                  <c:v>73.37879999999997</c:v>
                </c:pt>
                <c:pt idx="575">
                  <c:v>73.37879999999997</c:v>
                </c:pt>
                <c:pt idx="576">
                  <c:v>73.37879999999997</c:v>
                </c:pt>
                <c:pt idx="577">
                  <c:v>73.37879999999997</c:v>
                </c:pt>
                <c:pt idx="578">
                  <c:v>73.37879999999997</c:v>
                </c:pt>
                <c:pt idx="579">
                  <c:v>73.37879999999997</c:v>
                </c:pt>
                <c:pt idx="580">
                  <c:v>73.37879999999997</c:v>
                </c:pt>
                <c:pt idx="581">
                  <c:v>73.37879999999997</c:v>
                </c:pt>
                <c:pt idx="582">
                  <c:v>73.37879999999997</c:v>
                </c:pt>
                <c:pt idx="583">
                  <c:v>73.37879999999997</c:v>
                </c:pt>
                <c:pt idx="584">
                  <c:v>73.37879999999997</c:v>
                </c:pt>
                <c:pt idx="585">
                  <c:v>73.37879999999997</c:v>
                </c:pt>
                <c:pt idx="586">
                  <c:v>73.37879999999997</c:v>
                </c:pt>
                <c:pt idx="587">
                  <c:v>73.37879999999997</c:v>
                </c:pt>
                <c:pt idx="588">
                  <c:v>73.37879999999997</c:v>
                </c:pt>
                <c:pt idx="589">
                  <c:v>73.37879999999997</c:v>
                </c:pt>
                <c:pt idx="590">
                  <c:v>73.37879999999997</c:v>
                </c:pt>
                <c:pt idx="591">
                  <c:v>73.37879999999997</c:v>
                </c:pt>
                <c:pt idx="592">
                  <c:v>73.37879999999997</c:v>
                </c:pt>
                <c:pt idx="593">
                  <c:v>73.37879999999997</c:v>
                </c:pt>
                <c:pt idx="594">
                  <c:v>73.37879999999997</c:v>
                </c:pt>
                <c:pt idx="595">
                  <c:v>73.37879999999997</c:v>
                </c:pt>
                <c:pt idx="596">
                  <c:v>73.37879999999997</c:v>
                </c:pt>
                <c:pt idx="597">
                  <c:v>73.37879999999997</c:v>
                </c:pt>
                <c:pt idx="598">
                  <c:v>73.37879999999997</c:v>
                </c:pt>
                <c:pt idx="599">
                  <c:v>73.37879999999997</c:v>
                </c:pt>
                <c:pt idx="600">
                  <c:v>73.37879999999997</c:v>
                </c:pt>
                <c:pt idx="601">
                  <c:v>73.37879999999997</c:v>
                </c:pt>
                <c:pt idx="602">
                  <c:v>73.37879999999997</c:v>
                </c:pt>
                <c:pt idx="603">
                  <c:v>73.37879999999997</c:v>
                </c:pt>
                <c:pt idx="604">
                  <c:v>73.37879999999997</c:v>
                </c:pt>
                <c:pt idx="605">
                  <c:v>73.37879999999997</c:v>
                </c:pt>
                <c:pt idx="606">
                  <c:v>73.37879999999997</c:v>
                </c:pt>
                <c:pt idx="607">
                  <c:v>73.37879999999997</c:v>
                </c:pt>
                <c:pt idx="608">
                  <c:v>73.37879999999997</c:v>
                </c:pt>
                <c:pt idx="609">
                  <c:v>73.37879999999997</c:v>
                </c:pt>
                <c:pt idx="610">
                  <c:v>73.37879999999997</c:v>
                </c:pt>
                <c:pt idx="611">
                  <c:v>73.37879999999997</c:v>
                </c:pt>
                <c:pt idx="612">
                  <c:v>73.37879999999997</c:v>
                </c:pt>
                <c:pt idx="613">
                  <c:v>73.37879999999997</c:v>
                </c:pt>
                <c:pt idx="614">
                  <c:v>73.37879999999997</c:v>
                </c:pt>
                <c:pt idx="615">
                  <c:v>73.37879999999997</c:v>
                </c:pt>
                <c:pt idx="616">
                  <c:v>73.37879999999997</c:v>
                </c:pt>
                <c:pt idx="617">
                  <c:v>73.37879999999997</c:v>
                </c:pt>
                <c:pt idx="618">
                  <c:v>73.37879999999997</c:v>
                </c:pt>
                <c:pt idx="619">
                  <c:v>73.37879999999997</c:v>
                </c:pt>
                <c:pt idx="620">
                  <c:v>73.37879999999997</c:v>
                </c:pt>
                <c:pt idx="621">
                  <c:v>73.37879999999997</c:v>
                </c:pt>
                <c:pt idx="622">
                  <c:v>73.37879999999997</c:v>
                </c:pt>
                <c:pt idx="623">
                  <c:v>73.37879999999997</c:v>
                </c:pt>
                <c:pt idx="624">
                  <c:v>73.37879999999997</c:v>
                </c:pt>
                <c:pt idx="625">
                  <c:v>73.37879999999997</c:v>
                </c:pt>
                <c:pt idx="626">
                  <c:v>73.37879999999997</c:v>
                </c:pt>
                <c:pt idx="627">
                  <c:v>73.37879999999997</c:v>
                </c:pt>
                <c:pt idx="628">
                  <c:v>73.37879999999997</c:v>
                </c:pt>
                <c:pt idx="629">
                  <c:v>73.37879999999997</c:v>
                </c:pt>
                <c:pt idx="630">
                  <c:v>73.37879999999997</c:v>
                </c:pt>
                <c:pt idx="631">
                  <c:v>73.37879999999997</c:v>
                </c:pt>
                <c:pt idx="632">
                  <c:v>73.37879999999997</c:v>
                </c:pt>
                <c:pt idx="633">
                  <c:v>73.37879999999997</c:v>
                </c:pt>
                <c:pt idx="634">
                  <c:v>73.37879999999997</c:v>
                </c:pt>
                <c:pt idx="635">
                  <c:v>73.37879999999997</c:v>
                </c:pt>
                <c:pt idx="636">
                  <c:v>73.37879999999997</c:v>
                </c:pt>
                <c:pt idx="637">
                  <c:v>73.37879999999997</c:v>
                </c:pt>
                <c:pt idx="638">
                  <c:v>73.37879999999997</c:v>
                </c:pt>
                <c:pt idx="639">
                  <c:v>73.37879999999997</c:v>
                </c:pt>
                <c:pt idx="640">
                  <c:v>73.37879999999997</c:v>
                </c:pt>
                <c:pt idx="641">
                  <c:v>73.37879999999997</c:v>
                </c:pt>
                <c:pt idx="642">
                  <c:v>73.37879999999997</c:v>
                </c:pt>
                <c:pt idx="643">
                  <c:v>73.37879999999997</c:v>
                </c:pt>
                <c:pt idx="644">
                  <c:v>73.37879999999997</c:v>
                </c:pt>
                <c:pt idx="645">
                  <c:v>73.37879999999997</c:v>
                </c:pt>
                <c:pt idx="646">
                  <c:v>73.37879999999997</c:v>
                </c:pt>
                <c:pt idx="647">
                  <c:v>73.37879999999997</c:v>
                </c:pt>
                <c:pt idx="648">
                  <c:v>73.37879999999997</c:v>
                </c:pt>
                <c:pt idx="649">
                  <c:v>73.37879999999997</c:v>
                </c:pt>
                <c:pt idx="650">
                  <c:v>73.37879999999997</c:v>
                </c:pt>
                <c:pt idx="651">
                  <c:v>73.37879999999997</c:v>
                </c:pt>
                <c:pt idx="652">
                  <c:v>73.37879999999997</c:v>
                </c:pt>
                <c:pt idx="653">
                  <c:v>73.37879999999997</c:v>
                </c:pt>
                <c:pt idx="654">
                  <c:v>73.37879999999997</c:v>
                </c:pt>
                <c:pt idx="655">
                  <c:v>73.37879999999997</c:v>
                </c:pt>
                <c:pt idx="656">
                  <c:v>73.37879999999997</c:v>
                </c:pt>
                <c:pt idx="657">
                  <c:v>73.37879999999997</c:v>
                </c:pt>
                <c:pt idx="658">
                  <c:v>73.37879999999997</c:v>
                </c:pt>
                <c:pt idx="659">
                  <c:v>73.37879999999997</c:v>
                </c:pt>
                <c:pt idx="660">
                  <c:v>73.37879999999997</c:v>
                </c:pt>
                <c:pt idx="661">
                  <c:v>73.37879999999997</c:v>
                </c:pt>
                <c:pt idx="662">
                  <c:v>73.37879999999997</c:v>
                </c:pt>
                <c:pt idx="663">
                  <c:v>73.37879999999997</c:v>
                </c:pt>
                <c:pt idx="664">
                  <c:v>73.37879999999997</c:v>
                </c:pt>
                <c:pt idx="665">
                  <c:v>73.37879999999997</c:v>
                </c:pt>
                <c:pt idx="666">
                  <c:v>73.37879999999997</c:v>
                </c:pt>
                <c:pt idx="667">
                  <c:v>73.37879999999997</c:v>
                </c:pt>
                <c:pt idx="668">
                  <c:v>73.37879999999997</c:v>
                </c:pt>
                <c:pt idx="669">
                  <c:v>73.37879999999997</c:v>
                </c:pt>
                <c:pt idx="670">
                  <c:v>73.37879999999997</c:v>
                </c:pt>
                <c:pt idx="671">
                  <c:v>73.37879999999997</c:v>
                </c:pt>
                <c:pt idx="672">
                  <c:v>73.37879999999997</c:v>
                </c:pt>
                <c:pt idx="673">
                  <c:v>73.37879999999997</c:v>
                </c:pt>
                <c:pt idx="674">
                  <c:v>73.37879999999997</c:v>
                </c:pt>
                <c:pt idx="675">
                  <c:v>73.37879999999997</c:v>
                </c:pt>
                <c:pt idx="676">
                  <c:v>73.37879999999997</c:v>
                </c:pt>
                <c:pt idx="677">
                  <c:v>73.37879999999997</c:v>
                </c:pt>
                <c:pt idx="678">
                  <c:v>73.37879999999997</c:v>
                </c:pt>
                <c:pt idx="679">
                  <c:v>73.37879999999997</c:v>
                </c:pt>
                <c:pt idx="680">
                  <c:v>73.37879999999997</c:v>
                </c:pt>
                <c:pt idx="681">
                  <c:v>73.37879999999997</c:v>
                </c:pt>
                <c:pt idx="682">
                  <c:v>73.37879999999997</c:v>
                </c:pt>
                <c:pt idx="683">
                  <c:v>73.37879999999997</c:v>
                </c:pt>
                <c:pt idx="684">
                  <c:v>73.37879999999997</c:v>
                </c:pt>
                <c:pt idx="685">
                  <c:v>73.37879999999997</c:v>
                </c:pt>
                <c:pt idx="686">
                  <c:v>73.37879999999997</c:v>
                </c:pt>
                <c:pt idx="687">
                  <c:v>73.37879999999997</c:v>
                </c:pt>
                <c:pt idx="688">
                  <c:v>73.37879999999997</c:v>
                </c:pt>
                <c:pt idx="689">
                  <c:v>73.37879999999997</c:v>
                </c:pt>
                <c:pt idx="690">
                  <c:v>73.37879999999997</c:v>
                </c:pt>
                <c:pt idx="691">
                  <c:v>73.37879999999997</c:v>
                </c:pt>
                <c:pt idx="692">
                  <c:v>73.37879999999997</c:v>
                </c:pt>
                <c:pt idx="693">
                  <c:v>73.37879999999997</c:v>
                </c:pt>
                <c:pt idx="694">
                  <c:v>73.37879999999997</c:v>
                </c:pt>
                <c:pt idx="695">
                  <c:v>73.37879999999997</c:v>
                </c:pt>
                <c:pt idx="696">
                  <c:v>73.37879999999997</c:v>
                </c:pt>
                <c:pt idx="697">
                  <c:v>73.37879999999997</c:v>
                </c:pt>
                <c:pt idx="698">
                  <c:v>73.37879999999997</c:v>
                </c:pt>
                <c:pt idx="699">
                  <c:v>73.37879999999997</c:v>
                </c:pt>
                <c:pt idx="700">
                  <c:v>73.37879999999997</c:v>
                </c:pt>
                <c:pt idx="701">
                  <c:v>73.37879999999997</c:v>
                </c:pt>
                <c:pt idx="702">
                  <c:v>73.37879999999997</c:v>
                </c:pt>
                <c:pt idx="703">
                  <c:v>73.37879999999997</c:v>
                </c:pt>
                <c:pt idx="704">
                  <c:v>73.37879999999997</c:v>
                </c:pt>
                <c:pt idx="705">
                  <c:v>73.37879999999997</c:v>
                </c:pt>
                <c:pt idx="706">
                  <c:v>73.37879999999997</c:v>
                </c:pt>
                <c:pt idx="707">
                  <c:v>73.37879999999997</c:v>
                </c:pt>
                <c:pt idx="708">
                  <c:v>73.37879999999997</c:v>
                </c:pt>
                <c:pt idx="709">
                  <c:v>73.37879999999997</c:v>
                </c:pt>
                <c:pt idx="710">
                  <c:v>73.37879999999997</c:v>
                </c:pt>
                <c:pt idx="711">
                  <c:v>73.37879999999997</c:v>
                </c:pt>
                <c:pt idx="712">
                  <c:v>73.37879999999997</c:v>
                </c:pt>
                <c:pt idx="713">
                  <c:v>73.37879999999997</c:v>
                </c:pt>
                <c:pt idx="714">
                  <c:v>73.37879999999997</c:v>
                </c:pt>
                <c:pt idx="715">
                  <c:v>73.37879999999997</c:v>
                </c:pt>
                <c:pt idx="716">
                  <c:v>73.37879999999997</c:v>
                </c:pt>
                <c:pt idx="717">
                  <c:v>73.37879999999997</c:v>
                </c:pt>
                <c:pt idx="718">
                  <c:v>73.37879999999997</c:v>
                </c:pt>
                <c:pt idx="719">
                  <c:v>73.37879999999997</c:v>
                </c:pt>
                <c:pt idx="720">
                  <c:v>73.37879999999997</c:v>
                </c:pt>
                <c:pt idx="721">
                  <c:v>73.37879999999997</c:v>
                </c:pt>
                <c:pt idx="722">
                  <c:v>73.37879999999997</c:v>
                </c:pt>
                <c:pt idx="723">
                  <c:v>73.37879999999997</c:v>
                </c:pt>
                <c:pt idx="724">
                  <c:v>73.37879999999997</c:v>
                </c:pt>
                <c:pt idx="725">
                  <c:v>73.37879999999997</c:v>
                </c:pt>
                <c:pt idx="726">
                  <c:v>73.37879999999997</c:v>
                </c:pt>
                <c:pt idx="727">
                  <c:v>73.37879999999997</c:v>
                </c:pt>
                <c:pt idx="728">
                  <c:v>73.37879999999997</c:v>
                </c:pt>
                <c:pt idx="729">
                  <c:v>73.37879999999997</c:v>
                </c:pt>
                <c:pt idx="730">
                  <c:v>73.37879999999997</c:v>
                </c:pt>
                <c:pt idx="731">
                  <c:v>73.37879999999997</c:v>
                </c:pt>
                <c:pt idx="732">
                  <c:v>73.37879999999997</c:v>
                </c:pt>
                <c:pt idx="733">
                  <c:v>73.37879999999997</c:v>
                </c:pt>
                <c:pt idx="734">
                  <c:v>73.37879999999997</c:v>
                </c:pt>
                <c:pt idx="735">
                  <c:v>73.37879999999997</c:v>
                </c:pt>
                <c:pt idx="736">
                  <c:v>73.37879999999997</c:v>
                </c:pt>
                <c:pt idx="737">
                  <c:v>73.37879999999997</c:v>
                </c:pt>
                <c:pt idx="738">
                  <c:v>73.37879999999997</c:v>
                </c:pt>
                <c:pt idx="739">
                  <c:v>73.37879999999997</c:v>
                </c:pt>
                <c:pt idx="740">
                  <c:v>73.37879999999997</c:v>
                </c:pt>
                <c:pt idx="741">
                  <c:v>73.37879999999997</c:v>
                </c:pt>
                <c:pt idx="742">
                  <c:v>73.37879999999997</c:v>
                </c:pt>
                <c:pt idx="743">
                  <c:v>73.37879999999997</c:v>
                </c:pt>
                <c:pt idx="744">
                  <c:v>73.37879999999997</c:v>
                </c:pt>
                <c:pt idx="745">
                  <c:v>73.37879999999997</c:v>
                </c:pt>
                <c:pt idx="746">
                  <c:v>73.37879999999997</c:v>
                </c:pt>
                <c:pt idx="747">
                  <c:v>73.37879999999997</c:v>
                </c:pt>
                <c:pt idx="748">
                  <c:v>73.37879999999997</c:v>
                </c:pt>
                <c:pt idx="749">
                  <c:v>73.37879999999997</c:v>
                </c:pt>
                <c:pt idx="750">
                  <c:v>73.37879999999997</c:v>
                </c:pt>
                <c:pt idx="751">
                  <c:v>73.37879999999997</c:v>
                </c:pt>
                <c:pt idx="752">
                  <c:v>73.37879999999997</c:v>
                </c:pt>
                <c:pt idx="753">
                  <c:v>73.37879999999997</c:v>
                </c:pt>
                <c:pt idx="754">
                  <c:v>73.37879999999997</c:v>
                </c:pt>
                <c:pt idx="755">
                  <c:v>73.37879999999997</c:v>
                </c:pt>
                <c:pt idx="756">
                  <c:v>73.37879999999997</c:v>
                </c:pt>
                <c:pt idx="757">
                  <c:v>73.37879999999997</c:v>
                </c:pt>
                <c:pt idx="758">
                  <c:v>73.37879999999997</c:v>
                </c:pt>
                <c:pt idx="759">
                  <c:v>73.37879999999997</c:v>
                </c:pt>
                <c:pt idx="760">
                  <c:v>73.37879999999997</c:v>
                </c:pt>
                <c:pt idx="761">
                  <c:v>73.37879999999997</c:v>
                </c:pt>
                <c:pt idx="762">
                  <c:v>73.37879999999997</c:v>
                </c:pt>
                <c:pt idx="763">
                  <c:v>73.37879999999997</c:v>
                </c:pt>
                <c:pt idx="764">
                  <c:v>73.37879999999997</c:v>
                </c:pt>
                <c:pt idx="765">
                  <c:v>73.37879999999997</c:v>
                </c:pt>
                <c:pt idx="766">
                  <c:v>73.37879999999997</c:v>
                </c:pt>
                <c:pt idx="767">
                  <c:v>73.37879999999997</c:v>
                </c:pt>
                <c:pt idx="768">
                  <c:v>73.37879999999997</c:v>
                </c:pt>
                <c:pt idx="769">
                  <c:v>73.37879999999997</c:v>
                </c:pt>
                <c:pt idx="770">
                  <c:v>73.37879999999997</c:v>
                </c:pt>
                <c:pt idx="771">
                  <c:v>73.37879999999997</c:v>
                </c:pt>
                <c:pt idx="772">
                  <c:v>73.37879999999997</c:v>
                </c:pt>
                <c:pt idx="773">
                  <c:v>73.37879999999997</c:v>
                </c:pt>
                <c:pt idx="774">
                  <c:v>73.37879999999997</c:v>
                </c:pt>
                <c:pt idx="775">
                  <c:v>73.37879999999997</c:v>
                </c:pt>
                <c:pt idx="776">
                  <c:v>73.37879999999997</c:v>
                </c:pt>
                <c:pt idx="777">
                  <c:v>73.37879999999997</c:v>
                </c:pt>
                <c:pt idx="778">
                  <c:v>73.37879999999997</c:v>
                </c:pt>
                <c:pt idx="779">
                  <c:v>73.37879999999997</c:v>
                </c:pt>
                <c:pt idx="780">
                  <c:v>73.37879999999997</c:v>
                </c:pt>
                <c:pt idx="781">
                  <c:v>73.37879999999997</c:v>
                </c:pt>
                <c:pt idx="782">
                  <c:v>73.37879999999997</c:v>
                </c:pt>
                <c:pt idx="783">
                  <c:v>73.37879999999997</c:v>
                </c:pt>
                <c:pt idx="784">
                  <c:v>73.37879999999997</c:v>
                </c:pt>
                <c:pt idx="785">
                  <c:v>73.37879999999997</c:v>
                </c:pt>
                <c:pt idx="786">
                  <c:v>73.37879999999997</c:v>
                </c:pt>
                <c:pt idx="787">
                  <c:v>73.37879999999997</c:v>
                </c:pt>
                <c:pt idx="788">
                  <c:v>73.37879999999997</c:v>
                </c:pt>
                <c:pt idx="789">
                  <c:v>73.37879999999997</c:v>
                </c:pt>
                <c:pt idx="790">
                  <c:v>73.37879999999997</c:v>
                </c:pt>
                <c:pt idx="791">
                  <c:v>73.37879999999997</c:v>
                </c:pt>
                <c:pt idx="792">
                  <c:v>73.37879999999997</c:v>
                </c:pt>
                <c:pt idx="793">
                  <c:v>73.37879999999997</c:v>
                </c:pt>
                <c:pt idx="794">
                  <c:v>73.37879999999997</c:v>
                </c:pt>
                <c:pt idx="795">
                  <c:v>73.37879999999997</c:v>
                </c:pt>
                <c:pt idx="796">
                  <c:v>73.37879999999997</c:v>
                </c:pt>
                <c:pt idx="797">
                  <c:v>73.37879999999997</c:v>
                </c:pt>
                <c:pt idx="798">
                  <c:v>73.37879999999997</c:v>
                </c:pt>
                <c:pt idx="799">
                  <c:v>73.37879999999997</c:v>
                </c:pt>
                <c:pt idx="800">
                  <c:v>73.37879999999997</c:v>
                </c:pt>
                <c:pt idx="801">
                  <c:v>73.37879999999997</c:v>
                </c:pt>
                <c:pt idx="802">
                  <c:v>73.37879999999997</c:v>
                </c:pt>
                <c:pt idx="803">
                  <c:v>73.37879999999997</c:v>
                </c:pt>
                <c:pt idx="804">
                  <c:v>73.37879999999997</c:v>
                </c:pt>
                <c:pt idx="805">
                  <c:v>73.37879999999997</c:v>
                </c:pt>
                <c:pt idx="806">
                  <c:v>73.37879999999997</c:v>
                </c:pt>
                <c:pt idx="807">
                  <c:v>73.37879999999997</c:v>
                </c:pt>
                <c:pt idx="808">
                  <c:v>73.37879999999997</c:v>
                </c:pt>
                <c:pt idx="809">
                  <c:v>73.37879999999997</c:v>
                </c:pt>
                <c:pt idx="810">
                  <c:v>73.37879999999997</c:v>
                </c:pt>
                <c:pt idx="811">
                  <c:v>73.37879999999997</c:v>
                </c:pt>
                <c:pt idx="812">
                  <c:v>73.37879999999997</c:v>
                </c:pt>
                <c:pt idx="813">
                  <c:v>73.37879999999997</c:v>
                </c:pt>
                <c:pt idx="814">
                  <c:v>73.37879999999997</c:v>
                </c:pt>
                <c:pt idx="815">
                  <c:v>73.37879999999997</c:v>
                </c:pt>
                <c:pt idx="816">
                  <c:v>73.37879999999997</c:v>
                </c:pt>
                <c:pt idx="817">
                  <c:v>73.37879999999997</c:v>
                </c:pt>
                <c:pt idx="818">
                  <c:v>73.37879999999997</c:v>
                </c:pt>
                <c:pt idx="819">
                  <c:v>73.37879999999997</c:v>
                </c:pt>
                <c:pt idx="820">
                  <c:v>73.37879999999997</c:v>
                </c:pt>
                <c:pt idx="821">
                  <c:v>73.37879999999997</c:v>
                </c:pt>
                <c:pt idx="822">
                  <c:v>73.37879999999997</c:v>
                </c:pt>
                <c:pt idx="823">
                  <c:v>73.37879999999997</c:v>
                </c:pt>
                <c:pt idx="824">
                  <c:v>73.37879999999997</c:v>
                </c:pt>
                <c:pt idx="825">
                  <c:v>73.37879999999997</c:v>
                </c:pt>
                <c:pt idx="826">
                  <c:v>73.37879999999997</c:v>
                </c:pt>
                <c:pt idx="827">
                  <c:v>73.37879999999997</c:v>
                </c:pt>
                <c:pt idx="828">
                  <c:v>73.37879999999997</c:v>
                </c:pt>
                <c:pt idx="829">
                  <c:v>73.37879999999997</c:v>
                </c:pt>
                <c:pt idx="830">
                  <c:v>73.37879999999997</c:v>
                </c:pt>
                <c:pt idx="831">
                  <c:v>73.37879999999997</c:v>
                </c:pt>
                <c:pt idx="832">
                  <c:v>73.37879999999997</c:v>
                </c:pt>
                <c:pt idx="833">
                  <c:v>73.37879999999997</c:v>
                </c:pt>
                <c:pt idx="834">
                  <c:v>73.37879999999997</c:v>
                </c:pt>
                <c:pt idx="835">
                  <c:v>73.37879999999997</c:v>
                </c:pt>
                <c:pt idx="836">
                  <c:v>73.37879999999997</c:v>
                </c:pt>
                <c:pt idx="837">
                  <c:v>73.37879999999997</c:v>
                </c:pt>
                <c:pt idx="838">
                  <c:v>73.37879999999997</c:v>
                </c:pt>
                <c:pt idx="839">
                  <c:v>73.37879999999997</c:v>
                </c:pt>
                <c:pt idx="840">
                  <c:v>73.37879999999997</c:v>
                </c:pt>
                <c:pt idx="841">
                  <c:v>73.37879999999997</c:v>
                </c:pt>
                <c:pt idx="842">
                  <c:v>73.37879999999997</c:v>
                </c:pt>
                <c:pt idx="843">
                  <c:v>73.37879999999997</c:v>
                </c:pt>
                <c:pt idx="844">
                  <c:v>73.37879999999997</c:v>
                </c:pt>
                <c:pt idx="845">
                  <c:v>73.37879999999997</c:v>
                </c:pt>
                <c:pt idx="846">
                  <c:v>73.37879999999997</c:v>
                </c:pt>
                <c:pt idx="847">
                  <c:v>73.37879999999997</c:v>
                </c:pt>
                <c:pt idx="848">
                  <c:v>73.37879999999997</c:v>
                </c:pt>
                <c:pt idx="849">
                  <c:v>73.37879999999997</c:v>
                </c:pt>
                <c:pt idx="850">
                  <c:v>73.37879999999997</c:v>
                </c:pt>
                <c:pt idx="851">
                  <c:v>73.37879999999997</c:v>
                </c:pt>
                <c:pt idx="852">
                  <c:v>73.37879999999997</c:v>
                </c:pt>
                <c:pt idx="853">
                  <c:v>73.37879999999997</c:v>
                </c:pt>
                <c:pt idx="854">
                  <c:v>73.37879999999997</c:v>
                </c:pt>
                <c:pt idx="855">
                  <c:v>73.37879999999997</c:v>
                </c:pt>
                <c:pt idx="856">
                  <c:v>73.37879999999997</c:v>
                </c:pt>
                <c:pt idx="857">
                  <c:v>73.37879999999997</c:v>
                </c:pt>
                <c:pt idx="858">
                  <c:v>73.37879999999997</c:v>
                </c:pt>
                <c:pt idx="859">
                  <c:v>73.37879999999997</c:v>
                </c:pt>
                <c:pt idx="860">
                  <c:v>73.37879999999997</c:v>
                </c:pt>
                <c:pt idx="861">
                  <c:v>73.37879999999997</c:v>
                </c:pt>
                <c:pt idx="862">
                  <c:v>73.37879999999997</c:v>
                </c:pt>
                <c:pt idx="863">
                  <c:v>73.37879999999997</c:v>
                </c:pt>
                <c:pt idx="864">
                  <c:v>73.37879999999997</c:v>
                </c:pt>
                <c:pt idx="865">
                  <c:v>73.37879999999997</c:v>
                </c:pt>
                <c:pt idx="866">
                  <c:v>73.37879999999997</c:v>
                </c:pt>
                <c:pt idx="867">
                  <c:v>73.37879999999997</c:v>
                </c:pt>
                <c:pt idx="868">
                  <c:v>73.37879999999997</c:v>
                </c:pt>
                <c:pt idx="869">
                  <c:v>73.37879999999997</c:v>
                </c:pt>
                <c:pt idx="870">
                  <c:v>73.37879999999997</c:v>
                </c:pt>
                <c:pt idx="871">
                  <c:v>73.37879999999997</c:v>
                </c:pt>
                <c:pt idx="872">
                  <c:v>73.37879999999997</c:v>
                </c:pt>
                <c:pt idx="873">
                  <c:v>73.37879999999997</c:v>
                </c:pt>
                <c:pt idx="874">
                  <c:v>73.37879999999997</c:v>
                </c:pt>
                <c:pt idx="875">
                  <c:v>73.37879999999997</c:v>
                </c:pt>
                <c:pt idx="876">
                  <c:v>73.37879999999997</c:v>
                </c:pt>
                <c:pt idx="877">
                  <c:v>73.37879999999997</c:v>
                </c:pt>
                <c:pt idx="878">
                  <c:v>73.37879999999997</c:v>
                </c:pt>
                <c:pt idx="879">
                  <c:v>73.37879999999997</c:v>
                </c:pt>
                <c:pt idx="880">
                  <c:v>73.37879999999997</c:v>
                </c:pt>
                <c:pt idx="881">
                  <c:v>73.37879999999997</c:v>
                </c:pt>
                <c:pt idx="882">
                  <c:v>73.37879999999997</c:v>
                </c:pt>
                <c:pt idx="883">
                  <c:v>73.37879999999997</c:v>
                </c:pt>
                <c:pt idx="884">
                  <c:v>73.37879999999997</c:v>
                </c:pt>
                <c:pt idx="885">
                  <c:v>73.37879999999997</c:v>
                </c:pt>
                <c:pt idx="886">
                  <c:v>73.37879999999997</c:v>
                </c:pt>
                <c:pt idx="887">
                  <c:v>73.37879999999997</c:v>
                </c:pt>
                <c:pt idx="888">
                  <c:v>73.37879999999997</c:v>
                </c:pt>
                <c:pt idx="889">
                  <c:v>73.37879999999997</c:v>
                </c:pt>
                <c:pt idx="890">
                  <c:v>73.37879999999997</c:v>
                </c:pt>
                <c:pt idx="891">
                  <c:v>73.37879999999997</c:v>
                </c:pt>
                <c:pt idx="892">
                  <c:v>73.37879999999997</c:v>
                </c:pt>
                <c:pt idx="893">
                  <c:v>73.37879999999997</c:v>
                </c:pt>
                <c:pt idx="894">
                  <c:v>73.37879999999997</c:v>
                </c:pt>
                <c:pt idx="895">
                  <c:v>73.37879999999997</c:v>
                </c:pt>
                <c:pt idx="896">
                  <c:v>73.37879999999997</c:v>
                </c:pt>
                <c:pt idx="897">
                  <c:v>73.37879999999997</c:v>
                </c:pt>
                <c:pt idx="898">
                  <c:v>73.37879999999997</c:v>
                </c:pt>
                <c:pt idx="899">
                  <c:v>73.37879999999997</c:v>
                </c:pt>
                <c:pt idx="900">
                  <c:v>73.37879999999997</c:v>
                </c:pt>
                <c:pt idx="901">
                  <c:v>73.37879999999997</c:v>
                </c:pt>
                <c:pt idx="902">
                  <c:v>73.37879999999997</c:v>
                </c:pt>
                <c:pt idx="903">
                  <c:v>73.37879999999997</c:v>
                </c:pt>
                <c:pt idx="904">
                  <c:v>73.37879999999997</c:v>
                </c:pt>
                <c:pt idx="905">
                  <c:v>73.37879999999997</c:v>
                </c:pt>
                <c:pt idx="906">
                  <c:v>73.37879999999997</c:v>
                </c:pt>
                <c:pt idx="907">
                  <c:v>73.37879999999997</c:v>
                </c:pt>
                <c:pt idx="908">
                  <c:v>73.37879999999997</c:v>
                </c:pt>
                <c:pt idx="909">
                  <c:v>73.37879999999997</c:v>
                </c:pt>
                <c:pt idx="910">
                  <c:v>73.37879999999997</c:v>
                </c:pt>
                <c:pt idx="911">
                  <c:v>73.37879999999997</c:v>
                </c:pt>
                <c:pt idx="912">
                  <c:v>73.37879999999997</c:v>
                </c:pt>
                <c:pt idx="913">
                  <c:v>73.37879999999997</c:v>
                </c:pt>
                <c:pt idx="914">
                  <c:v>73.37879999999997</c:v>
                </c:pt>
                <c:pt idx="915">
                  <c:v>73.37879999999997</c:v>
                </c:pt>
                <c:pt idx="916">
                  <c:v>73.37879999999997</c:v>
                </c:pt>
                <c:pt idx="917">
                  <c:v>73.37879999999997</c:v>
                </c:pt>
                <c:pt idx="918">
                  <c:v>73.37879999999997</c:v>
                </c:pt>
                <c:pt idx="919">
                  <c:v>73.37879999999997</c:v>
                </c:pt>
                <c:pt idx="920">
                  <c:v>73.37879999999997</c:v>
                </c:pt>
                <c:pt idx="921">
                  <c:v>73.37879999999997</c:v>
                </c:pt>
                <c:pt idx="922">
                  <c:v>73.37879999999997</c:v>
                </c:pt>
                <c:pt idx="923">
                  <c:v>73.37879999999997</c:v>
                </c:pt>
                <c:pt idx="924">
                  <c:v>73.37879999999997</c:v>
                </c:pt>
                <c:pt idx="925">
                  <c:v>73.37879999999997</c:v>
                </c:pt>
                <c:pt idx="926">
                  <c:v>73.37879999999997</c:v>
                </c:pt>
                <c:pt idx="927">
                  <c:v>73.37879999999997</c:v>
                </c:pt>
                <c:pt idx="928">
                  <c:v>73.37879999999997</c:v>
                </c:pt>
                <c:pt idx="929">
                  <c:v>73.37879999999997</c:v>
                </c:pt>
                <c:pt idx="930">
                  <c:v>73.37879999999997</c:v>
                </c:pt>
                <c:pt idx="931">
                  <c:v>73.37879999999997</c:v>
                </c:pt>
                <c:pt idx="932">
                  <c:v>73.37879999999997</c:v>
                </c:pt>
                <c:pt idx="933">
                  <c:v>73.37879999999997</c:v>
                </c:pt>
                <c:pt idx="934">
                  <c:v>73.37879999999997</c:v>
                </c:pt>
                <c:pt idx="935">
                  <c:v>73.37879999999997</c:v>
                </c:pt>
                <c:pt idx="936">
                  <c:v>73.37879999999997</c:v>
                </c:pt>
                <c:pt idx="937">
                  <c:v>73.37879999999997</c:v>
                </c:pt>
                <c:pt idx="938">
                  <c:v>73.37879999999997</c:v>
                </c:pt>
                <c:pt idx="939">
                  <c:v>73.37879999999997</c:v>
                </c:pt>
                <c:pt idx="940">
                  <c:v>73.37879999999997</c:v>
                </c:pt>
                <c:pt idx="941">
                  <c:v>73.37879999999997</c:v>
                </c:pt>
                <c:pt idx="942">
                  <c:v>73.37879999999997</c:v>
                </c:pt>
                <c:pt idx="943">
                  <c:v>73.37879999999997</c:v>
                </c:pt>
                <c:pt idx="944">
                  <c:v>73.37879999999997</c:v>
                </c:pt>
                <c:pt idx="945">
                  <c:v>73.37879999999997</c:v>
                </c:pt>
                <c:pt idx="946">
                  <c:v>73.37879999999997</c:v>
                </c:pt>
                <c:pt idx="947">
                  <c:v>73.37879999999997</c:v>
                </c:pt>
                <c:pt idx="948">
                  <c:v>73.37879999999997</c:v>
                </c:pt>
                <c:pt idx="949">
                  <c:v>73.37879999999997</c:v>
                </c:pt>
                <c:pt idx="950">
                  <c:v>73.37879999999997</c:v>
                </c:pt>
                <c:pt idx="951">
                  <c:v>73.37879999999997</c:v>
                </c:pt>
                <c:pt idx="952">
                  <c:v>73.37879999999997</c:v>
                </c:pt>
                <c:pt idx="953">
                  <c:v>73.37879999999997</c:v>
                </c:pt>
                <c:pt idx="954">
                  <c:v>73.37879999999997</c:v>
                </c:pt>
                <c:pt idx="955">
                  <c:v>73.37879999999997</c:v>
                </c:pt>
                <c:pt idx="956">
                  <c:v>73.37879999999997</c:v>
                </c:pt>
                <c:pt idx="957">
                  <c:v>73.37879999999997</c:v>
                </c:pt>
                <c:pt idx="958">
                  <c:v>73.37879999999997</c:v>
                </c:pt>
                <c:pt idx="959">
                  <c:v>73.37879999999997</c:v>
                </c:pt>
                <c:pt idx="960">
                  <c:v>73.37879999999997</c:v>
                </c:pt>
                <c:pt idx="961">
                  <c:v>73.37879999999997</c:v>
                </c:pt>
                <c:pt idx="962">
                  <c:v>73.37879999999997</c:v>
                </c:pt>
                <c:pt idx="963">
                  <c:v>73.37879999999997</c:v>
                </c:pt>
                <c:pt idx="964">
                  <c:v>73.37879999999997</c:v>
                </c:pt>
                <c:pt idx="965">
                  <c:v>73.37879999999997</c:v>
                </c:pt>
                <c:pt idx="966">
                  <c:v>73.37879999999997</c:v>
                </c:pt>
                <c:pt idx="967">
                  <c:v>73.37879999999997</c:v>
                </c:pt>
                <c:pt idx="968">
                  <c:v>73.37879999999997</c:v>
                </c:pt>
                <c:pt idx="969">
                  <c:v>73.37879999999997</c:v>
                </c:pt>
                <c:pt idx="970">
                  <c:v>73.37879999999997</c:v>
                </c:pt>
                <c:pt idx="971">
                  <c:v>73.37879999999997</c:v>
                </c:pt>
                <c:pt idx="972">
                  <c:v>73.37879999999997</c:v>
                </c:pt>
                <c:pt idx="973">
                  <c:v>73.37879999999997</c:v>
                </c:pt>
                <c:pt idx="974">
                  <c:v>73.37879999999997</c:v>
                </c:pt>
                <c:pt idx="975">
                  <c:v>73.37879999999997</c:v>
                </c:pt>
                <c:pt idx="976">
                  <c:v>73.37879999999997</c:v>
                </c:pt>
                <c:pt idx="977">
                  <c:v>73.37879999999997</c:v>
                </c:pt>
                <c:pt idx="978">
                  <c:v>73.37879999999997</c:v>
                </c:pt>
                <c:pt idx="979">
                  <c:v>73.37879999999997</c:v>
                </c:pt>
                <c:pt idx="980">
                  <c:v>73.37879999999997</c:v>
                </c:pt>
                <c:pt idx="981">
                  <c:v>73.37879999999997</c:v>
                </c:pt>
                <c:pt idx="982">
                  <c:v>73.37879999999997</c:v>
                </c:pt>
                <c:pt idx="983">
                  <c:v>73.37879999999997</c:v>
                </c:pt>
                <c:pt idx="984">
                  <c:v>73.37879999999997</c:v>
                </c:pt>
                <c:pt idx="985">
                  <c:v>73.37879999999997</c:v>
                </c:pt>
                <c:pt idx="986">
                  <c:v>73.37879999999997</c:v>
                </c:pt>
                <c:pt idx="987">
                  <c:v>73.37879999999997</c:v>
                </c:pt>
                <c:pt idx="988">
                  <c:v>73.37879999999997</c:v>
                </c:pt>
                <c:pt idx="989">
                  <c:v>73.37879999999997</c:v>
                </c:pt>
                <c:pt idx="990">
                  <c:v>73.37879999999997</c:v>
                </c:pt>
                <c:pt idx="991">
                  <c:v>73.37879999999997</c:v>
                </c:pt>
                <c:pt idx="992">
                  <c:v>73.37879999999997</c:v>
                </c:pt>
                <c:pt idx="993">
                  <c:v>73.37879999999997</c:v>
                </c:pt>
                <c:pt idx="994">
                  <c:v>73.37879999999997</c:v>
                </c:pt>
                <c:pt idx="995">
                  <c:v>73.37879999999997</c:v>
                </c:pt>
                <c:pt idx="996">
                  <c:v>73.37879999999997</c:v>
                </c:pt>
                <c:pt idx="997">
                  <c:v>73.37879999999997</c:v>
                </c:pt>
                <c:pt idx="998">
                  <c:v>73.37879999999997</c:v>
                </c:pt>
                <c:pt idx="999">
                  <c:v>73.37879999999997</c:v>
                </c:pt>
                <c:pt idx="1000">
                  <c:v>73.37879999999997</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Calculs!$W$4:$W$1004</c:f>
              <c:numCache>
                <c:formatCode>0.00</c:formatCode>
                <c:ptCount val="1001"/>
                <c:pt idx="0">
                  <c:v>0</c:v>
                </c:pt>
                <c:pt idx="1">
                  <c:v>1.467026298155887E-4</c:v>
                </c:pt>
                <c:pt idx="2">
                  <c:v>5.5820007959282488E-3</c:v>
                </c:pt>
                <c:pt idx="3">
                  <c:v>2.8252695197651209E-2</c:v>
                </c:pt>
                <c:pt idx="4">
                  <c:v>6.6691462115298722E-2</c:v>
                </c:pt>
                <c:pt idx="5">
                  <c:v>0.11915526163355977</c:v>
                </c:pt>
                <c:pt idx="6">
                  <c:v>0.18564892161543706</c:v>
                </c:pt>
                <c:pt idx="7">
                  <c:v>0.26755311579141239</c:v>
                </c:pt>
                <c:pt idx="8">
                  <c:v>0.36523303912116528</c:v>
                </c:pt>
                <c:pt idx="9">
                  <c:v>0.47905695447867691</c:v>
                </c:pt>
                <c:pt idx="10">
                  <c:v>0.60939617658179934</c:v>
                </c:pt>
                <c:pt idx="11">
                  <c:v>0.75626978531389555</c:v>
                </c:pt>
                <c:pt idx="12">
                  <c:v>0.91955235493662291</c:v>
                </c:pt>
                <c:pt idx="13">
                  <c:v>1.0994006952626767</c:v>
                </c:pt>
                <c:pt idx="14">
                  <c:v>1.2959715421124673</c:v>
                </c:pt>
                <c:pt idx="15">
                  <c:v>1.509421540481493</c:v>
                </c:pt>
                <c:pt idx="16">
                  <c:v>1.7399072275677463</c:v>
                </c:pt>
                <c:pt idx="17">
                  <c:v>1.9875850156609911</c:v>
                </c:pt>
                <c:pt idx="18">
                  <c:v>2.2526111748958004</c:v>
                </c:pt>
                <c:pt idx="19">
                  <c:v>2.5351418158703143</c:v>
                </c:pt>
                <c:pt idx="20">
                  <c:v>2.8353328721327031</c:v>
                </c:pt>
                <c:pt idx="21">
                  <c:v>3.1530488119221536</c:v>
                </c:pt>
                <c:pt idx="22">
                  <c:v>3.4880926257118077</c:v>
                </c:pt>
                <c:pt idx="23">
                  <c:v>3.8405272824067538</c:v>
                </c:pt>
                <c:pt idx="24">
                  <c:v>4.2104148873184792</c:v>
                </c:pt>
                <c:pt idx="25">
                  <c:v>4.5978166722008877</c:v>
                </c:pt>
                <c:pt idx="26">
                  <c:v>5.0027940791405685</c:v>
                </c:pt>
                <c:pt idx="27">
                  <c:v>5.4254078866293289</c:v>
                </c:pt>
                <c:pt idx="28">
                  <c:v>5.8657168445834502</c:v>
                </c:pt>
                <c:pt idx="29">
                  <c:v>6.3237787845088178</c:v>
                </c:pt>
                <c:pt idx="30">
                  <c:v>6.799650610276494</c:v>
                </c:pt>
                <c:pt idx="31">
                  <c:v>7.2933882889536488</c:v>
                </c:pt>
                <c:pt idx="32">
                  <c:v>7.8050468416759342</c:v>
                </c:pt>
                <c:pt idx="33">
                  <c:v>8.3346803345684215</c:v>
                </c:pt>
                <c:pt idx="34">
                  <c:v>8.8823418697211487</c:v>
                </c:pt>
                <c:pt idx="35">
                  <c:v>9.4480835762250219</c:v>
                </c:pt>
                <c:pt idx="36">
                  <c:v>10.031956601273116</c:v>
                </c:pt>
                <c:pt idx="37">
                  <c:v>10.634011101332037</c:v>
                </c:pt>
                <c:pt idx="38">
                  <c:v>11.254296233387739</c:v>
                </c:pt>
                <c:pt idx="39">
                  <c:v>11.892860146269774</c:v>
                </c:pt>
                <c:pt idx="40">
                  <c:v>12.549749972057791</c:v>
                </c:pt>
                <c:pt idx="41">
                  <c:v>13.224546833349963</c:v>
                </c:pt>
                <c:pt idx="42">
                  <c:v>13.91678152683974</c:v>
                </c:pt>
                <c:pt idx="43">
                  <c:v>14.626424148709363</c:v>
                </c:pt>
                <c:pt idx="44">
                  <c:v>15.353443583837569</c:v>
                </c:pt>
                <c:pt idx="45">
                  <c:v>16.097807507296469</c:v>
                </c:pt>
                <c:pt idx="46">
                  <c:v>16.859482386016651</c:v>
                </c:pt>
                <c:pt idx="47">
                  <c:v>17.638433480621369</c:v>
                </c:pt>
                <c:pt idx="48">
                  <c:v>18.434624847430673</c:v>
                </c:pt>
                <c:pt idx="49">
                  <c:v>19.248019340635956</c:v>
                </c:pt>
                <c:pt idx="50">
                  <c:v>20.078578614645377</c:v>
                </c:pt>
                <c:pt idx="51">
                  <c:v>20.926263126600769</c:v>
                </c:pt>
                <c:pt idx="52">
                  <c:v>21.7910321390661</c:v>
                </c:pt>
                <c:pt idx="53">
                  <c:v>22.672843722887873</c:v>
                </c:pt>
                <c:pt idx="54">
                  <c:v>23.571654760227513</c:v>
                </c:pt>
                <c:pt idx="55">
                  <c:v>24.487420947765766</c:v>
                </c:pt>
                <c:pt idx="56">
                  <c:v>25.420096800079222</c:v>
                </c:pt>
                <c:pt idx="57">
                  <c:v>26.369635653188737</c:v>
                </c:pt>
                <c:pt idx="58">
                  <c:v>27.335989668279598</c:v>
                </c:pt>
                <c:pt idx="59">
                  <c:v>28.319109835593391</c:v>
                </c:pt>
                <c:pt idx="60">
                  <c:v>29.318945978490934</c:v>
                </c:pt>
                <c:pt idx="61">
                  <c:v>30.335446757686309</c:v>
                </c:pt>
                <c:pt idx="62">
                  <c:v>31.368559675651255</c:v>
                </c:pt>
                <c:pt idx="63">
                  <c:v>32.418231081189703</c:v>
                </c:pt>
                <c:pt idx="64">
                  <c:v>33.484406174181778</c:v>
                </c:pt>
                <c:pt idx="65">
                  <c:v>34.56702901049664</c:v>
                </c:pt>
                <c:pt idx="66">
                  <c:v>35.666042507073705</c:v>
                </c:pt>
                <c:pt idx="67">
                  <c:v>36.781388447171494</c:v>
                </c:pt>
                <c:pt idx="68">
                  <c:v>37.913007485783119</c:v>
                </c:pt>
                <c:pt idx="69">
                  <c:v>39.060839155218176</c:v>
                </c:pt>
                <c:pt idx="70">
                  <c:v>40.224821870849411</c:v>
                </c:pt>
                <c:pt idx="71">
                  <c:v>41.404892937024144</c:v>
                </c:pt>
                <c:pt idx="72">
                  <c:v>42.600988553138734</c:v>
                </c:pt>
                <c:pt idx="73">
                  <c:v>43.813043819875602</c:v>
                </c:pt>
                <c:pt idx="74">
                  <c:v>45.040992745601585</c:v>
                </c:pt>
                <c:pt idx="75">
                  <c:v>46.284768252926511</c:v>
                </c:pt>
                <c:pt idx="76">
                  <c:v>47.54430218542101</c:v>
                </c:pt>
                <c:pt idx="77">
                  <c:v>48.819525314492068</c:v>
                </c:pt>
                <c:pt idx="78">
                  <c:v>50.110367346415721</c:v>
                </c:pt>
                <c:pt idx="79">
                  <c:v>51.416756929524851</c:v>
                </c:pt>
                <c:pt idx="80">
                  <c:v>52.738621661551363</c:v>
                </c:pt>
                <c:pt idx="81">
                  <c:v>54.074930162282911</c:v>
                </c:pt>
                <c:pt idx="82">
                  <c:v>55.424600754069303</c:v>
                </c:pt>
                <c:pt idx="83">
                  <c:v>56.787484815110908</c:v>
                </c:pt>
                <c:pt idx="84">
                  <c:v>58.163432979133049</c:v>
                </c:pt>
                <c:pt idx="85">
                  <c:v>59.552295154624993</c:v>
                </c:pt>
                <c:pt idx="86">
                  <c:v>60.953920544153483</c:v>
                </c:pt>
                <c:pt idx="87">
                  <c:v>62.368157663746487</c:v>
                </c:pt>
                <c:pt idx="88">
                  <c:v>63.794854362342434</c:v>
                </c:pt>
                <c:pt idx="89">
                  <c:v>65.233857841300775</c:v>
                </c:pt>
                <c:pt idx="90">
                  <c:v>66.685014673969491</c:v>
                </c:pt>
                <c:pt idx="91">
                  <c:v>68.147695348873228</c:v>
                </c:pt>
                <c:pt idx="92">
                  <c:v>69.621248580377681</c:v>
                </c:pt>
                <c:pt idx="93">
                  <c:v>71.10548788535003</c:v>
                </c:pt>
                <c:pt idx="94">
                  <c:v>72.600226449079699</c:v>
                </c:pt>
                <c:pt idx="95">
                  <c:v>74.105277149966156</c:v>
                </c:pt>
                <c:pt idx="96">
                  <c:v>75.620452584170152</c:v>
                </c:pt>
                <c:pt idx="97">
                  <c:v>77.145565090222604</c:v>
                </c:pt>
                <c:pt idx="98">
                  <c:v>78.680426773585808</c:v>
                </c:pt>
                <c:pt idx="99">
                  <c:v>80.224849531160785</c:v>
                </c:pt>
                <c:pt idx="100">
                  <c:v>81.778645075736279</c:v>
                </c:pt>
                <c:pt idx="101">
                  <c:v>83.341540803573395</c:v>
                </c:pt>
                <c:pt idx="102">
                  <c:v>84.913260709127854</c:v>
                </c:pt>
                <c:pt idx="103">
                  <c:v>86.493611295936944</c:v>
                </c:pt>
                <c:pt idx="104">
                  <c:v>88.082399023389385</c:v>
                </c:pt>
                <c:pt idx="105">
                  <c:v>89.679430331520109</c:v>
                </c:pt>
                <c:pt idx="106">
                  <c:v>91.284511665700137</c:v>
                </c:pt>
                <c:pt idx="107">
                  <c:v>92.897449501216869</c:v>
                </c:pt>
                <c:pt idx="108">
                  <c:v>94.518050367738851</c:v>
                </c:pt>
                <c:pt idx="109">
                  <c:v>96.146120873660678</c:v>
                </c:pt>
                <c:pt idx="110">
                  <c:v>97.781467730321793</c:v>
                </c:pt>
                <c:pt idx="111">
                  <c:v>99.424956661884892</c:v>
                </c:pt>
                <c:pt idx="112">
                  <c:v>101.07748964726797</c:v>
                </c:pt>
                <c:pt idx="113">
                  <c:v>102.73892675521765</c:v>
                </c:pt>
                <c:pt idx="114">
                  <c:v>104.40912778400356</c:v>
                </c:pt>
                <c:pt idx="115">
                  <c:v>106.08795227769534</c:v>
                </c:pt>
                <c:pt idx="116">
                  <c:v>107.7752595424227</c:v>
                </c:pt>
                <c:pt idx="117">
                  <c:v>109.47090866261262</c:v>
                </c:pt>
                <c:pt idx="118">
                  <c:v>111.1747585172031</c:v>
                </c:pt>
                <c:pt idx="119">
                  <c:v>112.88666779582775</c:v>
                </c:pt>
                <c:pt idx="120">
                  <c:v>114.60649501497009</c:v>
                </c:pt>
                <c:pt idx="121">
                  <c:v>116.33219790296921</c:v>
                </c:pt>
                <c:pt idx="122">
                  <c:v>118.0616761146841</c:v>
                </c:pt>
                <c:pt idx="123">
                  <c:v>119.79470330280287</c:v>
                </c:pt>
                <c:pt idx="124">
                  <c:v>121.53105393080693</c:v>
                </c:pt>
                <c:pt idx="125">
                  <c:v>123.27050329977328</c:v>
                </c:pt>
                <c:pt idx="126">
                  <c:v>125.01282757485389</c:v>
                </c:pt>
                <c:pt idx="127">
                  <c:v>126.75780381142788</c:v>
                </c:pt>
                <c:pt idx="128">
                  <c:v>128.50520998092225</c:v>
                </c:pt>
                <c:pt idx="129">
                  <c:v>130.25482499629697</c:v>
                </c:pt>
                <c:pt idx="130">
                  <c:v>132.00642873719005</c:v>
                </c:pt>
                <c:pt idx="131">
                  <c:v>133.75926832173019</c:v>
                </c:pt>
                <c:pt idx="132">
                  <c:v>135.51257764463227</c:v>
                </c:pt>
                <c:pt idx="133">
                  <c:v>137.2661190545912</c:v>
                </c:pt>
                <c:pt idx="134">
                  <c:v>139.01965628651521</c:v>
                </c:pt>
                <c:pt idx="135">
                  <c:v>140.77295448722694</c:v>
                </c:pt>
                <c:pt idx="136">
                  <c:v>142.52578024070391</c:v>
                </c:pt>
                <c:pt idx="137">
                  <c:v>144.27790159285669</c:v>
                </c:pt>
                <c:pt idx="138">
                  <c:v>146.02908807583947</c:v>
                </c:pt>
                <c:pt idx="139">
                  <c:v>147.77911073189478</c:v>
                </c:pt>
                <c:pt idx="140">
                  <c:v>149.52774213672564</c:v>
                </c:pt>
                <c:pt idx="141">
                  <c:v>151.26796780458326</c:v>
                </c:pt>
                <c:pt idx="142">
                  <c:v>152.99261792364993</c:v>
                </c:pt>
                <c:pt idx="143">
                  <c:v>154.70124643919848</c:v>
                </c:pt>
                <c:pt idx="144">
                  <c:v>156.39341508474755</c:v>
                </c:pt>
                <c:pt idx="145">
                  <c:v>158.06869341972842</c:v>
                </c:pt>
                <c:pt idx="146">
                  <c:v>159.7266588645025</c:v>
                </c:pt>
                <c:pt idx="147">
                  <c:v>161.36689673275123</c:v>
                </c:pt>
                <c:pt idx="148">
                  <c:v>162.98900026126034</c:v>
                </c:pt>
                <c:pt idx="149">
                  <c:v>164.59257063712272</c:v>
                </c:pt>
                <c:pt idx="150">
                  <c:v>166.1772170223845</c:v>
                </c:pt>
                <c:pt idx="151">
                  <c:v>167.74255657615933</c:v>
                </c:pt>
                <c:pt idx="152">
                  <c:v>169.28821447423829</c:v>
                </c:pt>
                <c:pt idx="153">
                  <c:v>170.81382392622243</c:v>
                </c:pt>
                <c:pt idx="154">
                  <c:v>172.31902619020721</c:v>
                </c:pt>
                <c:pt idx="155">
                  <c:v>173.80347058504807</c:v>
                </c:pt>
                <c:pt idx="156">
                  <c:v>175.23220737481094</c:v>
                </c:pt>
                <c:pt idx="157">
                  <c:v>176.56976512107599</c:v>
                </c:pt>
                <c:pt idx="158">
                  <c:v>177.81512668466672</c:v>
                </c:pt>
                <c:pt idx="159">
                  <c:v>178.96736691869987</c:v>
                </c:pt>
                <c:pt idx="160">
                  <c:v>180.02565236467973</c:v>
                </c:pt>
                <c:pt idx="161">
                  <c:v>180.94453753336225</c:v>
                </c:pt>
                <c:pt idx="162">
                  <c:v>181.67833269715962</c:v>
                </c:pt>
                <c:pt idx="163">
                  <c:v>182.23048040011349</c:v>
                </c:pt>
                <c:pt idx="164">
                  <c:v>182.60475650766739</c:v>
                </c:pt>
                <c:pt idx="165">
                  <c:v>182.84387125099354</c:v>
                </c:pt>
                <c:pt idx="166">
                  <c:v>182.9907702980608</c:v>
                </c:pt>
                <c:pt idx="167">
                  <c:v>183.01290300288491</c:v>
                </c:pt>
                <c:pt idx="168">
                  <c:v>182.90150620321103</c:v>
                </c:pt>
                <c:pt idx="169">
                  <c:v>182.58970397826084</c:v>
                </c:pt>
                <c:pt idx="170">
                  <c:v>182.05840996176497</c:v>
                </c:pt>
                <c:pt idx="171">
                  <c:v>181.45443981656942</c:v>
                </c:pt>
                <c:pt idx="172">
                  <c:v>180.85300167990164</c:v>
                </c:pt>
                <c:pt idx="173">
                  <c:v>180.25408143657512</c:v>
                </c:pt>
                <c:pt idx="174">
                  <c:v>179.65766507056924</c:v>
                </c:pt>
                <c:pt idx="175">
                  <c:v>179.06373866419116</c:v>
                </c:pt>
                <c:pt idx="176">
                  <c:v>178.47228839724622</c:v>
                </c:pt>
                <c:pt idx="177">
                  <c:v>177.88330054621588</c:v>
                </c:pt>
                <c:pt idx="178">
                  <c:v>177.29676148344515</c:v>
                </c:pt>
                <c:pt idx="179">
                  <c:v>176.71265767633591</c:v>
                </c:pt>
                <c:pt idx="180">
                  <c:v>176.13097568654993</c:v>
                </c:pt>
                <c:pt idx="181">
                  <c:v>175.5517021692194</c:v>
                </c:pt>
                <c:pt idx="182">
                  <c:v>174.97482387216394</c:v>
                </c:pt>
                <c:pt idx="183">
                  <c:v>174.40032763511712</c:v>
                </c:pt>
                <c:pt idx="184">
                  <c:v>173.82820038895912</c:v>
                </c:pt>
                <c:pt idx="185">
                  <c:v>173.25842915495753</c:v>
                </c:pt>
                <c:pt idx="186">
                  <c:v>172.69100104401517</c:v>
                </c:pt>
                <c:pt idx="187">
                  <c:v>172.12590325592572</c:v>
                </c:pt>
                <c:pt idx="188">
                  <c:v>171.56312307863621</c:v>
                </c:pt>
                <c:pt idx="189">
                  <c:v>171.00264788751667</c:v>
                </c:pt>
                <c:pt idx="190">
                  <c:v>170.44446514463687</c:v>
                </c:pt>
                <c:pt idx="191">
                  <c:v>169.88856239805017</c:v>
                </c:pt>
                <c:pt idx="192">
                  <c:v>169.33492728108439</c:v>
                </c:pt>
                <c:pt idx="193">
                  <c:v>168.78354751163911</c:v>
                </c:pt>
                <c:pt idx="194">
                  <c:v>168.23441089148994</c:v>
                </c:pt>
                <c:pt idx="195">
                  <c:v>167.68750530559979</c:v>
                </c:pt>
                <c:pt idx="196">
                  <c:v>167.14281872143633</c:v>
                </c:pt>
                <c:pt idx="197">
                  <c:v>166.60033918829589</c:v>
                </c:pt>
                <c:pt idx="198">
                  <c:v>166.06005483663455</c:v>
                </c:pt>
                <c:pt idx="199">
                  <c:v>165.52195387740491</c:v>
                </c:pt>
                <c:pt idx="200">
                  <c:v>164.98602460139924</c:v>
                </c:pt>
                <c:pt idx="201">
                  <c:v>159.69431554581149</c:v>
                </c:pt>
                <c:pt idx="202">
                  <c:v>154.61209189809944</c:v>
                </c:pt>
                <c:pt idx="203">
                  <c:v>149.728460831554</c:v>
                </c:pt>
                <c:pt idx="204">
                  <c:v>145.03323688919411</c:v>
                </c:pt>
                <c:pt idx="205">
                  <c:v>140.51688729634785</c:v>
                </c:pt>
                <c:pt idx="206">
                  <c:v>136.17048216427352</c:v>
                </c:pt>
                <c:pt idx="207">
                  <c:v>131.98564908961816</c:v>
                </c:pt>
                <c:pt idx="208">
                  <c:v>127.95453171035668</c:v>
                </c:pt>
                <c:pt idx="209">
                  <c:v>124.06975182777619</c:v>
                </c:pt>
                <c:pt idx="210">
                  <c:v>120.32437474699445</c:v>
                </c:pt>
                <c:pt idx="211">
                  <c:v>116.71187752624242</c:v>
                </c:pt>
                <c:pt idx="212">
                  <c:v>113.2261198583642</c:v>
                </c:pt>
                <c:pt idx="213">
                  <c:v>109.86131733729681</c:v>
                </c:pt>
                <c:pt idx="214">
                  <c:v>106.61201688818029</c:v>
                </c:pt>
                <c:pt idx="215">
                  <c:v>103.47307416265112</c:v>
                </c:pt>
                <c:pt idx="216">
                  <c:v>100.43963272117092</c:v>
                </c:pt>
                <c:pt idx="217">
                  <c:v>97.507104842251223</c:v>
                </c:pt>
                <c:pt idx="218">
                  <c:v>94.671153814440615</c:v>
                </c:pt>
                <c:pt idx="219">
                  <c:v>91.927677581186558</c:v>
                </c:pt>
                <c:pt idx="220">
                  <c:v>89.272793621375598</c:v>
                </c:pt>
                <c:pt idx="221">
                  <c:v>86.702824959685572</c:v>
                </c:pt>
                <c:pt idx="222">
                  <c:v>84.21428721100321</c:v>
                </c:pt>
                <c:pt idx="223">
                  <c:v>81.803876572216964</c:v>
                </c:pt>
                <c:pt idx="224">
                  <c:v>79.468458682805633</c:v>
                </c:pt>
                <c:pt idx="225">
                  <c:v>77.205058282919978</c:v>
                </c:pt>
                <c:pt idx="226">
                  <c:v>75.010849604187371</c:v>
                </c:pt>
                <c:pt idx="227">
                  <c:v>72.883147434341751</c:v>
                </c:pt>
                <c:pt idx="228">
                  <c:v>70.81939880206896</c:v>
                </c:pt>
                <c:pt idx="229">
                  <c:v>68.817175233220738</c:v>
                </c:pt>
                <c:pt idx="230">
                  <c:v>66.874165533845598</c:v>
                </c:pt>
                <c:pt idx="231">
                  <c:v>64.98816905936782</c:v>
                </c:pt>
                <c:pt idx="232">
                  <c:v>63.157089432750524</c:v>
                </c:pt>
                <c:pt idx="233">
                  <c:v>61.378928677654095</c:v>
                </c:pt>
                <c:pt idx="234">
                  <c:v>59.651781735476028</c:v>
                </c:pt>
                <c:pt idx="235">
                  <c:v>57.973831337764729</c:v>
                </c:pt>
                <c:pt idx="236">
                  <c:v>56.343343207865885</c:v>
                </c:pt>
                <c:pt idx="237">
                  <c:v>54.758661567809106</c:v>
                </c:pt>
                <c:pt idx="238">
                  <c:v>53.218204928397363</c:v>
                </c:pt>
                <c:pt idx="239">
                  <c:v>51.720462142239811</c:v>
                </c:pt>
                <c:pt idx="240">
                  <c:v>50.263988701089424</c:v>
                </c:pt>
                <c:pt idx="241">
                  <c:v>48.847403260324128</c:v>
                </c:pt>
                <c:pt idx="242">
                  <c:v>47.46938437475805</c:v>
                </c:pt>
                <c:pt idx="243">
                  <c:v>46.128667431200824</c:v>
                </c:pt>
                <c:pt idx="244">
                  <c:v>44.824041764308681</c:v>
                </c:pt>
                <c:pt idx="245">
                  <c:v>43.554347943300009</c:v>
                </c:pt>
                <c:pt idx="246">
                  <c:v>42.318475218051489</c:v>
                </c:pt>
                <c:pt idx="247">
                  <c:v>41.115359113954021</c:v>
                </c:pt>
                <c:pt idx="248">
                  <c:v>39.943979165699922</c:v>
                </c:pt>
                <c:pt idx="249">
                  <c:v>38.803356780899733</c:v>
                </c:pt>
                <c:pt idx="250">
                  <c:v>37.6925532250944</c:v>
                </c:pt>
                <c:pt idx="251">
                  <c:v>36.610667720342008</c:v>
                </c:pt>
                <c:pt idx="252">
                  <c:v>35.556835650122494</c:v>
                </c:pt>
                <c:pt idx="253">
                  <c:v>34.530226863823088</c:v>
                </c:pt>
                <c:pt idx="254">
                  <c:v>33.530044074545081</c:v>
                </c:pt>
                <c:pt idx="255">
                  <c:v>32.555521344413883</c:v>
                </c:pt>
                <c:pt idx="256">
                  <c:v>31.605922651980233</c:v>
                </c:pt>
                <c:pt idx="257">
                  <c:v>30.680540536675878</c:v>
                </c:pt>
                <c:pt idx="258">
                  <c:v>29.778694815633241</c:v>
                </c:pt>
                <c:pt idx="259">
                  <c:v>28.899731368499019</c:v>
                </c:pt>
                <c:pt idx="260">
                  <c:v>28.04302098616683</c:v>
                </c:pt>
                <c:pt idx="261">
                  <c:v>27.207958279629231</c:v>
                </c:pt>
                <c:pt idx="262">
                  <c:v>26.393960645401194</c:v>
                </c:pt>
                <c:pt idx="263">
                  <c:v>25.600467284203635</c:v>
                </c:pt>
                <c:pt idx="264">
                  <c:v>24.826938269811826</c:v>
                </c:pt>
                <c:pt idx="265">
                  <c:v>24.072853665176403</c:v>
                </c:pt>
                <c:pt idx="266">
                  <c:v>23.337712683111199</c:v>
                </c:pt>
                <c:pt idx="267">
                  <c:v>22.621032889016718</c:v>
                </c:pt>
                <c:pt idx="268">
                  <c:v>21.922349443268846</c:v>
                </c:pt>
                <c:pt idx="269">
                  <c:v>21.24121438105324</c:v>
                </c:pt>
                <c:pt idx="270">
                  <c:v>20.577195927564777</c:v>
                </c:pt>
                <c:pt idx="271">
                  <c:v>19.929877846621938</c:v>
                </c:pt>
                <c:pt idx="272">
                  <c:v>19.298858820866492</c:v>
                </c:pt>
                <c:pt idx="273">
                  <c:v>18.683751861831478</c:v>
                </c:pt>
                <c:pt idx="274">
                  <c:v>18.08418374826562</c:v>
                </c:pt>
                <c:pt idx="275">
                  <c:v>17.499794491199854</c:v>
                </c:pt>
                <c:pt idx="276">
                  <c:v>16.930236824332955</c:v>
                </c:pt>
                <c:pt idx="277">
                  <c:v>16.375175718398292</c:v>
                </c:pt>
                <c:pt idx="278">
                  <c:v>15.834287918253134</c:v>
                </c:pt>
                <c:pt idx="279">
                  <c:v>15.30726150150603</c:v>
                </c:pt>
                <c:pt idx="280">
                  <c:v>14.793795457567079</c:v>
                </c:pt>
                <c:pt idx="281">
                  <c:v>14.293599286070503</c:v>
                </c:pt>
                <c:pt idx="282">
                  <c:v>13.806392613679348</c:v>
                </c:pt>
                <c:pt idx="283">
                  <c:v>13.331904828338754</c:v>
                </c:pt>
                <c:pt idx="284">
                  <c:v>12.86987473009675</c:v>
                </c:pt>
                <c:pt idx="285">
                  <c:v>12.420050197661283</c:v>
                </c:pt>
                <c:pt idx="286">
                  <c:v>11.982187869907774</c:v>
                </c:pt>
                <c:pt idx="287">
                  <c:v>11.556052841595241</c:v>
                </c:pt>
                <c:pt idx="288">
                  <c:v>11.141418372588667</c:v>
                </c:pt>
                <c:pt idx="289">
                  <c:v>10.738065609923508</c:v>
                </c:pt>
                <c:pt idx="290">
                  <c:v>10.345783322082902</c:v>
                </c:pt>
                <c:pt idx="291">
                  <c:v>9.9643676448912313</c:v>
                </c:pt>
                <c:pt idx="292">
                  <c:v>9.5936218384580965</c:v>
                </c:pt>
                <c:pt idx="293">
                  <c:v>9.2333560546351165</c:v>
                </c:pt>
                <c:pt idx="294">
                  <c:v>8.8833871144746599</c:v>
                </c:pt>
                <c:pt idx="295">
                  <c:v>8.5435382952036303</c:v>
                </c:pt>
                <c:pt idx="296">
                  <c:v>8.2136391262485926</c:v>
                </c:pt>
                <c:pt idx="297">
                  <c:v>7.8935251938688742</c:v>
                </c:pt>
                <c:pt idx="298">
                  <c:v>7.5830379539737933</c:v>
                </c:pt>
                <c:pt idx="299">
                  <c:v>7.2820245527171892</c:v>
                </c:pt>
                <c:pt idx="300">
                  <c:v>6.9903376544785187</c:v>
                </c:pt>
                <c:pt idx="301">
                  <c:v>6.7078352768536265</c:v>
                </c:pt>
                <c:pt idx="302">
                  <c:v>6.4343806322908454</c:v>
                </c:pt>
                <c:pt idx="303">
                  <c:v>6.1698419760188719</c:v>
                </c:pt>
                <c:pt idx="304">
                  <c:v>5.9140924599219549</c:v>
                </c:pt>
                <c:pt idx="305">
                  <c:v>5.6670099920253385</c:v>
                </c:pt>
                <c:pt idx="306">
                  <c:v>5.4284771012596584</c:v>
                </c:pt>
                <c:pt idx="307">
                  <c:v>5.1983808071767248</c:v>
                </c:pt>
                <c:pt idx="308">
                  <c:v>4.9766124942912988</c:v>
                </c:pt>
                <c:pt idx="309">
                  <c:v>4.7630677907234347</c:v>
                </c:pt>
                <c:pt idx="310">
                  <c:v>4.5576464508141727</c:v>
                </c:pt>
                <c:pt idx="311">
                  <c:v>4.3602522413833382</c:v>
                </c:pt>
                <c:pt idx="312">
                  <c:v>4.1707928312921778</c:v>
                </c:pt>
                <c:pt idx="313">
                  <c:v>3.9891796839653981</c:v>
                </c:pt>
                <c:pt idx="314">
                  <c:v>3.8153279525166428</c:v>
                </c:pt>
                <c:pt idx="315">
                  <c:v>3.6491563771091702</c:v>
                </c:pt>
                <c:pt idx="316">
                  <c:v>3.4905871841688452</c:v>
                </c:pt>
                <c:pt idx="317">
                  <c:v>3.3395459870502888</c:v>
                </c:pt>
                <c:pt idx="318">
                  <c:v>3.1959616877393233</c:v>
                </c:pt>
                <c:pt idx="319">
                  <c:v>3.0597663791559579</c:v>
                </c:pt>
                <c:pt idx="320">
                  <c:v>2.9308952476031656</c:v>
                </c:pt>
                <c:pt idx="321">
                  <c:v>2.8092864748881796</c:v>
                </c:pt>
                <c:pt idx="322">
                  <c:v>2.6948811396263856</c:v>
                </c:pt>
                <c:pt idx="323">
                  <c:v>2.5876231172245774</c:v>
                </c:pt>
                <c:pt idx="324">
                  <c:v>2.4874589780322918</c:v>
                </c:pt>
                <c:pt idx="325">
                  <c:v>2.3943378831493427</c:v>
                </c:pt>
                <c:pt idx="326">
                  <c:v>2.308211477387045</c:v>
                </c:pt>
                <c:pt idx="327">
                  <c:v>2.2290337789029362</c:v>
                </c:pt>
                <c:pt idx="328">
                  <c:v>2.1567610650665991</c:v>
                </c:pt>
                <c:pt idx="329">
                  <c:v>2.0913517541706916</c:v>
                </c:pt>
                <c:pt idx="330">
                  <c:v>2.0327662826783883</c:v>
                </c:pt>
                <c:pt idx="331">
                  <c:v>1.9809669777980468</c:v>
                </c:pt>
                <c:pt idx="332">
                  <c:v>1.9359179252982004</c:v>
                </c:pt>
                <c:pt idx="333">
                  <c:v>1.8975848326198061</c:v>
                </c:pt>
                <c:pt idx="334">
                  <c:v>1.8659348875048347</c:v>
                </c:pt>
                <c:pt idx="335">
                  <c:v>1.8409366125353668</c:v>
                </c:pt>
                <c:pt idx="336">
                  <c:v>1.8225597161580072</c:v>
                </c:pt>
                <c:pt idx="337">
                  <c:v>1.810774940945244</c:v>
                </c:pt>
                <c:pt idx="338">
                  <c:v>1.8055539100080269</c:v>
                </c:pt>
                <c:pt idx="339">
                  <c:v>1.8068689726116594</c:v>
                </c:pt>
                <c:pt idx="340">
                  <c:v>1.8146930501503418</c:v>
                </c:pt>
                <c:pt idx="341">
                  <c:v>1.8289994836966939</c:v>
                </c:pt>
                <c:pt idx="342">
                  <c:v>1.8497618843566461</c:v>
                </c:pt>
                <c:pt idx="343">
                  <c:v>1.8769539876261359</c:v>
                </c:pt>
                <c:pt idx="344">
                  <c:v>1.9105495128668517</c:v>
                </c:pt>
                <c:pt idx="345">
                  <c:v>1.9505220288998921</c:v>
                </c:pt>
                <c:pt idx="346">
                  <c:v>1.9968448265675549</c:v>
                </c:pt>
                <c:pt idx="347">
                  <c:v>2.0494907989447215</c:v>
                </c:pt>
                <c:pt idx="348">
                  <c:v>2.1084323297034402</c:v>
                </c:pt>
                <c:pt idx="349">
                  <c:v>2.1736411899572197</c:v>
                </c:pt>
                <c:pt idx="350">
                  <c:v>2.245088443744029</c:v>
                </c:pt>
                <c:pt idx="351">
                  <c:v>2.3227443621555581</c:v>
                </c:pt>
                <c:pt idx="352">
                  <c:v>2.4065783459894408</c:v>
                </c:pt>
                <c:pt idx="353">
                  <c:v>2.4965588566930381</c:v>
                </c:pt>
                <c:pt idx="354">
                  <c:v>2.5926533552826565</c:v>
                </c:pt>
                <c:pt idx="355">
                  <c:v>2.6948282488595368</c:v>
                </c:pt>
                <c:pt idx="356">
                  <c:v>2.8030488443017312</c:v>
                </c:pt>
                <c:pt idx="357">
                  <c:v>2.9172793086863513</c:v>
                </c:pt>
                <c:pt idx="358">
                  <c:v>3.0374826359867333</c:v>
                </c:pt>
                <c:pt idx="359">
                  <c:v>3.1636206195909446</c:v>
                </c:pt>
                <c:pt idx="360">
                  <c:v>3.2956538301989506</c:v>
                </c:pt>
                <c:pt idx="361">
                  <c:v>3.4335415986732696</c:v>
                </c:pt>
                <c:pt idx="362">
                  <c:v>3.5772420034399834</c:v>
                </c:pt>
                <c:pt idx="363">
                  <c:v>3.7267118620617703</c:v>
                </c:pt>
                <c:pt idx="364">
                  <c:v>3.8819067266308682</c:v>
                </c:pt>
                <c:pt idx="365">
                  <c:v>4.0427808826564773</c:v>
                </c:pt>
                <c:pt idx="366">
                  <c:v>4.2092873511472355</c:v>
                </c:pt>
                <c:pt idx="367">
                  <c:v>4.3813778936146326</c:v>
                </c:pt>
                <c:pt idx="368">
                  <c:v>4.5590030197470037</c:v>
                </c:pt>
                <c:pt idx="369">
                  <c:v>4.7421119975259884</c:v>
                </c:pt>
                <c:pt idx="370">
                  <c:v>4.9306528655779056</c:v>
                </c:pt>
                <c:pt idx="371">
                  <c:v>5.1245724475712793</c:v>
                </c:pt>
                <c:pt idx="372">
                  <c:v>5.3238163684888109</c:v>
                </c:pt>
                <c:pt idx="373">
                  <c:v>5.5283290726176606</c:v>
                </c:pt>
                <c:pt idx="374">
                  <c:v>5.73805384311569</c:v>
                </c:pt>
                <c:pt idx="375">
                  <c:v>5.9529328230238709</c:v>
                </c:pt>
                <c:pt idx="376">
                  <c:v>6.1729070376061763</c:v>
                </c:pt>
                <c:pt idx="377">
                  <c:v>6.3979164179082701</c:v>
                </c:pt>
                <c:pt idx="378">
                  <c:v>6.6278998254351071</c:v>
                </c:pt>
                <c:pt idx="379">
                  <c:v>6.8627950778554609</c:v>
                </c:pt>
                <c:pt idx="380">
                  <c:v>7.1025389756484101</c:v>
                </c:pt>
                <c:pt idx="381">
                  <c:v>7.347067329613048</c:v>
                </c:pt>
                <c:pt idx="382">
                  <c:v>7.5963149891681772</c:v>
                </c:pt>
                <c:pt idx="383">
                  <c:v>7.8502158713736554</c:v>
                </c:pt>
                <c:pt idx="384">
                  <c:v>8.1087029906095598</c:v>
                </c:pt>
                <c:pt idx="385">
                  <c:v>8.3717084888530753</c:v>
                </c:pt>
                <c:pt idx="386">
                  <c:v>8.6391636664965805</c:v>
                </c:pt>
                <c:pt idx="387">
                  <c:v>8.910999013653603</c:v>
                </c:pt>
                <c:pt idx="388">
                  <c:v>9.1871442419019367</c:v>
                </c:pt>
                <c:pt idx="389">
                  <c:v>9.4675283164159119</c:v>
                </c:pt>
                <c:pt idx="390">
                  <c:v>9.7520794884419733</c:v>
                </c:pt>
                <c:pt idx="391">
                  <c:v>10.040725328073833</c:v>
                </c:pt>
                <c:pt idx="392">
                  <c:v>10.333392757285342</c:v>
                </c:pt>
                <c:pt idx="393">
                  <c:v>10.630008083180853</c:v>
                </c:pt>
                <c:pt idx="394">
                  <c:v>10.930497031424686</c:v>
                </c:pt>
                <c:pt idx="395">
                  <c:v>11.23478477981234</c:v>
                </c:pt>
                <c:pt idx="396">
                  <c:v>11.542795991947871</c:v>
                </c:pt>
                <c:pt idx="397">
                  <c:v>11.854454850992836</c:v>
                </c:pt>
                <c:pt idx="398">
                  <c:v>12.169685093453507</c:v>
                </c:pt>
                <c:pt idx="399">
                  <c:v>12.488410042974177</c:v>
                </c:pt>
                <c:pt idx="400">
                  <c:v>12.810552644105316</c:v>
                </c:pt>
                <c:pt idx="401">
                  <c:v>13.13603549601657</c:v>
                </c:pt>
                <c:pt idx="402">
                  <c:v>13.464780886125284</c:v>
                </c:pt>
                <c:pt idx="403">
                  <c:v>13.796710823612434</c:v>
                </c:pt>
                <c:pt idx="404">
                  <c:v>14.131747072798484</c:v>
                </c:pt>
                <c:pt idx="405">
                  <c:v>14.469811186352864</c:v>
                </c:pt>
                <c:pt idx="406">
                  <c:v>14.81082453831127</c:v>
                </c:pt>
                <c:pt idx="407">
                  <c:v>15.15470835687608</c:v>
                </c:pt>
                <c:pt idx="408">
                  <c:v>15.501383756976054</c:v>
                </c:pt>
                <c:pt idx="409">
                  <c:v>15.850771772561759</c:v>
                </c:pt>
                <c:pt idx="410">
                  <c:v>16.202793388614847</c:v>
                </c:pt>
                <c:pt idx="411">
                  <c:v>16.557369572849144</c:v>
                </c:pt>
                <c:pt idx="412">
                  <c:v>16.914421307083074</c:v>
                </c:pt>
                <c:pt idx="413">
                  <c:v>17.273869618263102</c:v>
                </c:pt>
                <c:pt idx="414">
                  <c:v>17.635635609119056</c:v>
                </c:pt>
                <c:pt idx="415">
                  <c:v>17.999640488432863</c:v>
                </c:pt>
                <c:pt idx="416">
                  <c:v>18.365805600902632</c:v>
                </c:pt>
                <c:pt idx="417">
                  <c:v>18.734052456585445</c:v>
                </c:pt>
                <c:pt idx="418">
                  <c:v>19.104302759902172</c:v>
                </c:pt>
                <c:pt idx="419">
                  <c:v>19.476478438189087</c:v>
                </c:pt>
                <c:pt idx="420">
                  <c:v>19.850501669781288</c:v>
                </c:pt>
                <c:pt idx="421">
                  <c:v>20.226294911613813</c:v>
                </c:pt>
                <c:pt idx="422">
                  <c:v>20.603780926327271</c:v>
                </c:pt>
                <c:pt idx="423">
                  <c:v>20.982882808865188</c:v>
                </c:pt>
                <c:pt idx="424">
                  <c:v>21.36352401255116</c:v>
                </c:pt>
                <c:pt idx="425">
                  <c:v>21.745628374634748</c:v>
                </c:pt>
                <c:pt idx="426">
                  <c:v>22.129120141295484</c:v>
                </c:pt>
                <c:pt idx="427">
                  <c:v>22.513923992095208</c:v>
                </c:pt>
                <c:pt idx="428">
                  <c:v>22.899965063869647</c:v>
                </c:pt>
                <c:pt idx="429">
                  <c:v>23.287168974050935</c:v>
                </c:pt>
                <c:pt idx="430">
                  <c:v>23.675461843413114</c:v>
                </c:pt>
                <c:pt idx="431">
                  <c:v>24.064770318233801</c:v>
                </c:pt>
                <c:pt idx="432">
                  <c:v>24.455021591865446</c:v>
                </c:pt>
                <c:pt idx="433">
                  <c:v>24.846143425710579</c:v>
                </c:pt>
                <c:pt idx="434">
                  <c:v>25.238064169595816</c:v>
                </c:pt>
                <c:pt idx="435">
                  <c:v>25.630712781540396</c:v>
                </c:pt>
                <c:pt idx="436">
                  <c:v>26.024018846915169</c:v>
                </c:pt>
                <c:pt idx="437">
                  <c:v>26.417912596989105</c:v>
                </c:pt>
                <c:pt idx="438">
                  <c:v>26.81232492686047</c:v>
                </c:pt>
                <c:pt idx="439">
                  <c:v>27.207187412770935</c:v>
                </c:pt>
                <c:pt idx="440">
                  <c:v>27.602432328801015</c:v>
                </c:pt>
                <c:pt idx="441">
                  <c:v>27.997992662946093</c:v>
                </c:pt>
                <c:pt idx="442">
                  <c:v>28.393802132572798</c:v>
                </c:pt>
                <c:pt idx="443">
                  <c:v>28.789795199255892</c:v>
                </c:pt>
                <c:pt idx="444">
                  <c:v>29.1859070829966</c:v>
                </c:pt>
                <c:pt idx="445">
                  <c:v>29.582073775823698</c:v>
                </c:pt>
                <c:pt idx="446">
                  <c:v>29.97823205477912</c:v>
                </c:pt>
                <c:pt idx="447">
                  <c:v>30.374319494290525</c:v>
                </c:pt>
                <c:pt idx="448">
                  <c:v>30.770274477933683</c:v>
                </c:pt>
                <c:pt idx="449">
                  <c:v>31.166036209587805</c:v>
                </c:pt>
                <c:pt idx="450">
                  <c:v>31.56154472398768</c:v>
                </c:pt>
                <c:pt idx="451">
                  <c:v>31.956740896676873</c:v>
                </c:pt>
                <c:pt idx="452">
                  <c:v>32.351566453366331</c:v>
                </c:pt>
                <c:pt idx="453">
                  <c:v>32.745963978703749</c:v>
                </c:pt>
                <c:pt idx="454">
                  <c:v>33.139876924458839</c:v>
                </c:pt>
                <c:pt idx="455">
                  <c:v>33.533249617130451</c:v>
                </c:pt>
                <c:pt idx="456">
                  <c:v>33.926027264981492</c:v>
                </c:pt>
                <c:pt idx="457">
                  <c:v>34.318155964508428</c:v>
                </c:pt>
                <c:pt idx="458">
                  <c:v>34.709582706352037</c:v>
                </c:pt>
                <c:pt idx="459">
                  <c:v>35.100255380656378</c:v>
                </c:pt>
                <c:pt idx="460">
                  <c:v>35.490122781883947</c:v>
                </c:pt>
                <c:pt idx="461">
                  <c:v>35.879134613094024</c:v>
                </c:pt>
                <c:pt idx="462">
                  <c:v>36.267241489693028</c:v>
                </c:pt>
                <c:pt idx="463">
                  <c:v>36.654394942664503</c:v>
                </c:pt>
                <c:pt idx="464">
                  <c:v>37.040547421287435</c:v>
                </c:pt>
                <c:pt idx="465">
                  <c:v>37.425652295352002</c:v>
                </c:pt>
                <c:pt idx="466">
                  <c:v>37.809663856880967</c:v>
                </c:pt>
                <c:pt idx="467">
                  <c:v>38.192537321366686</c:v>
                </c:pt>
                <c:pt idx="468">
                  <c:v>38.574228828532306</c:v>
                </c:pt>
                <c:pt idx="469">
                  <c:v>38.954695442627333</c:v>
                </c:pt>
                <c:pt idx="470">
                  <c:v>39.333895152266678</c:v>
                </c:pt>
                <c:pt idx="471">
                  <c:v>39.711786869823364</c:v>
                </c:pt>
                <c:pt idx="472">
                  <c:v>40.08833043038446</c:v>
                </c:pt>
                <c:pt idx="473">
                  <c:v>40.463486590280858</c:v>
                </c:pt>
                <c:pt idx="474">
                  <c:v>40.837217025200268</c:v>
                </c:pt>
                <c:pt idx="475">
                  <c:v>41.209484327894351</c:v>
                </c:pt>
                <c:pt idx="476">
                  <c:v>41.580252005489989</c:v>
                </c:pt>
                <c:pt idx="477">
                  <c:v>41.949484476415066</c:v>
                </c:pt>
                <c:pt idx="478">
                  <c:v>42.317147066949161</c:v>
                </c:pt>
                <c:pt idx="479">
                  <c:v>42.683206007409993</c:v>
                </c:pt>
                <c:pt idx="480">
                  <c:v>43.047628427985444</c:v>
                </c:pt>
                <c:pt idx="481">
                  <c:v>43.410382354222435</c:v>
                </c:pt>
                <c:pt idx="482">
                  <c:v>43.771436702182598</c:v>
                </c:pt>
                <c:pt idx="483">
                  <c:v>44.130761273275589</c:v>
                </c:pt>
                <c:pt idx="484">
                  <c:v>44.488326748780388</c:v>
                </c:pt>
                <c:pt idx="485">
                  <c:v>44.844104684065293</c:v>
                </c:pt>
                <c:pt idx="486">
                  <c:v>45.1980675025168</c:v>
                </c:pt>
                <c:pt idx="487">
                  <c:v>45.550188489188095</c:v>
                </c:pt>
                <c:pt idx="488">
                  <c:v>45.900441784176984</c:v>
                </c:pt>
                <c:pt idx="489">
                  <c:v>46.248802375744546</c:v>
                </c:pt>
                <c:pt idx="490">
                  <c:v>46.595246093183519</c:v>
                </c:pt>
                <c:pt idx="491">
                  <c:v>46.939749599447815</c:v>
                </c:pt>
                <c:pt idx="492">
                  <c:v>47.282290383552088</c:v>
                </c:pt>
                <c:pt idx="493">
                  <c:v>47.622846752752523</c:v>
                </c:pt>
                <c:pt idx="494">
                  <c:v>47.961397824517626</c:v>
                </c:pt>
                <c:pt idx="495">
                  <c:v>48.297923518299804</c:v>
                </c:pt>
                <c:pt idx="496">
                  <c:v>48.632404547116643</c:v>
                </c:pt>
                <c:pt idx="497">
                  <c:v>48.964822408952145</c:v>
                </c:pt>
                <c:pt idx="498">
                  <c:v>49.295159377986593</c:v>
                </c:pt>
                <c:pt idx="499">
                  <c:v>49.62339849566532</c:v>
                </c:pt>
                <c:pt idx="500">
                  <c:v>49.949523561614704</c:v>
                </c:pt>
                <c:pt idx="501">
                  <c:v>50.273519124415188</c:v>
                </c:pt>
                <c:pt idx="502">
                  <c:v>50.595370472239559</c:v>
                </c:pt>
                <c:pt idx="503">
                  <c:v>50.915063623365924</c:v>
                </c:pt>
                <c:pt idx="504">
                  <c:v>51.232585316573719</c:v>
                </c:pt>
                <c:pt idx="505">
                  <c:v>51.547923001430995</c:v>
                </c:pt>
                <c:pt idx="506">
                  <c:v>51.861064828481844</c:v>
                </c:pt>
                <c:pt idx="507">
                  <c:v>52.171999639341827</c:v>
                </c:pt>
                <c:pt idx="508">
                  <c:v>52.480716956709379</c:v>
                </c:pt>
                <c:pt idx="509">
                  <c:v>52.787206974301291</c:v>
                </c:pt>
                <c:pt idx="510">
                  <c:v>53.091460546719588</c:v>
                </c:pt>
                <c:pt idx="511">
                  <c:v>53.393469179257956</c:v>
                </c:pt>
                <c:pt idx="512">
                  <c:v>53.693225017654228</c:v>
                </c:pt>
                <c:pt idx="513">
                  <c:v>53.990720837796978</c:v>
                </c:pt>
                <c:pt idx="514">
                  <c:v>54.285950035392567</c:v>
                </c:pt>
                <c:pt idx="515">
                  <c:v>54.578906615600012</c:v>
                </c:pt>
                <c:pt idx="516">
                  <c:v>54.869585182639902</c:v>
                </c:pt>
                <c:pt idx="517">
                  <c:v>55.157980929384308</c:v>
                </c:pt>
                <c:pt idx="518">
                  <c:v>55.44408962693376</c:v>
                </c:pt>
                <c:pt idx="519">
                  <c:v>55.727907614187274</c:v>
                </c:pt>
                <c:pt idx="520">
                  <c:v>56.009431787412083</c:v>
                </c:pt>
                <c:pt idx="521">
                  <c:v>56.288659589818053</c:v>
                </c:pt>
                <c:pt idx="522">
                  <c:v>56.565589001143159</c:v>
                </c:pt>
                <c:pt idx="523">
                  <c:v>56.840218527254919</c:v>
                </c:pt>
                <c:pt idx="524">
                  <c:v>57.112547189773572</c:v>
                </c:pt>
                <c:pt idx="525">
                  <c:v>57.382574515721778</c:v>
                </c:pt>
                <c:pt idx="526">
                  <c:v>57.650300527206042</c:v>
                </c:pt>
                <c:pt idx="527">
                  <c:v>57.915725731134437</c:v>
                </c:pt>
                <c:pt idx="528">
                  <c:v>57.9159883275818</c:v>
                </c:pt>
                <c:pt idx="529">
                  <c:v>57.916250921754269</c:v>
                </c:pt>
                <c:pt idx="530">
                  <c:v>57.91651351365185</c:v>
                </c:pt>
                <c:pt idx="531">
                  <c:v>57.916776103274515</c:v>
                </c:pt>
                <c:pt idx="532">
                  <c:v>57.917038690622263</c:v>
                </c:pt>
                <c:pt idx="533">
                  <c:v>57.917301275695138</c:v>
                </c:pt>
                <c:pt idx="534">
                  <c:v>57.917563858493089</c:v>
                </c:pt>
                <c:pt idx="535">
                  <c:v>57.917826439016181</c:v>
                </c:pt>
                <c:pt idx="536">
                  <c:v>57.91808901726435</c:v>
                </c:pt>
                <c:pt idx="537">
                  <c:v>57.918351593237666</c:v>
                </c:pt>
                <c:pt idx="538">
                  <c:v>57.918614166936038</c:v>
                </c:pt>
                <c:pt idx="539">
                  <c:v>57.91887673835955</c:v>
                </c:pt>
                <c:pt idx="540">
                  <c:v>57.919139307508175</c:v>
                </c:pt>
                <c:pt idx="541">
                  <c:v>57.91940187438189</c:v>
                </c:pt>
                <c:pt idx="542">
                  <c:v>57.919664438980753</c:v>
                </c:pt>
                <c:pt idx="543">
                  <c:v>57.9199270013047</c:v>
                </c:pt>
                <c:pt idx="544">
                  <c:v>57.92018956135378</c:v>
                </c:pt>
                <c:pt idx="545">
                  <c:v>57.920452119127972</c:v>
                </c:pt>
                <c:pt idx="546">
                  <c:v>57.920714674627305</c:v>
                </c:pt>
                <c:pt idx="547">
                  <c:v>57.920977227851729</c:v>
                </c:pt>
                <c:pt idx="548">
                  <c:v>57.921239778801294</c:v>
                </c:pt>
                <c:pt idx="549">
                  <c:v>57.921502327475949</c:v>
                </c:pt>
                <c:pt idx="550">
                  <c:v>57.921764873875738</c:v>
                </c:pt>
                <c:pt idx="551">
                  <c:v>57.922027418000688</c:v>
                </c:pt>
                <c:pt idx="552">
                  <c:v>57.92228995985073</c:v>
                </c:pt>
                <c:pt idx="553">
                  <c:v>57.922552499425933</c:v>
                </c:pt>
                <c:pt idx="554">
                  <c:v>57.922815036726249</c:v>
                </c:pt>
                <c:pt idx="555">
                  <c:v>57.923077571751683</c:v>
                </c:pt>
                <c:pt idx="556">
                  <c:v>57.923340104502245</c:v>
                </c:pt>
                <c:pt idx="557">
                  <c:v>57.923602634977968</c:v>
                </c:pt>
                <c:pt idx="558">
                  <c:v>57.92386516317881</c:v>
                </c:pt>
                <c:pt idx="559">
                  <c:v>57.924127689104793</c:v>
                </c:pt>
                <c:pt idx="560">
                  <c:v>57.924390212755931</c:v>
                </c:pt>
                <c:pt idx="561">
                  <c:v>57.924652734132188</c:v>
                </c:pt>
                <c:pt idx="562">
                  <c:v>57.924915253233571</c:v>
                </c:pt>
                <c:pt idx="563">
                  <c:v>57.925177770060124</c:v>
                </c:pt>
                <c:pt idx="564">
                  <c:v>57.92544028461181</c:v>
                </c:pt>
                <c:pt idx="565">
                  <c:v>57.925702796888636</c:v>
                </c:pt>
                <c:pt idx="566">
                  <c:v>57.925965306890625</c:v>
                </c:pt>
                <c:pt idx="567">
                  <c:v>57.926227814617739</c:v>
                </c:pt>
                <c:pt idx="568">
                  <c:v>57.92649032007003</c:v>
                </c:pt>
                <c:pt idx="569">
                  <c:v>57.926752823247433</c:v>
                </c:pt>
                <c:pt idx="570">
                  <c:v>57.927015324150013</c:v>
                </c:pt>
                <c:pt idx="571">
                  <c:v>57.927277822777747</c:v>
                </c:pt>
                <c:pt idx="572">
                  <c:v>57.927540319130628</c:v>
                </c:pt>
                <c:pt idx="573">
                  <c:v>57.927802813208665</c:v>
                </c:pt>
                <c:pt idx="574">
                  <c:v>57.928065305011849</c:v>
                </c:pt>
                <c:pt idx="575">
                  <c:v>57.928327794540209</c:v>
                </c:pt>
                <c:pt idx="576">
                  <c:v>57.92859028179371</c:v>
                </c:pt>
                <c:pt idx="577">
                  <c:v>57.928852766772387</c:v>
                </c:pt>
                <c:pt idx="578">
                  <c:v>57.929115249476219</c:v>
                </c:pt>
                <c:pt idx="579">
                  <c:v>57.929377729905227</c:v>
                </c:pt>
                <c:pt idx="580">
                  <c:v>57.929640208059368</c:v>
                </c:pt>
                <c:pt idx="581">
                  <c:v>57.929902683938707</c:v>
                </c:pt>
                <c:pt idx="582">
                  <c:v>57.930165157543186</c:v>
                </c:pt>
                <c:pt idx="583">
                  <c:v>57.930427628872863</c:v>
                </c:pt>
                <c:pt idx="584">
                  <c:v>57.930690097927709</c:v>
                </c:pt>
                <c:pt idx="585">
                  <c:v>57.930952564707702</c:v>
                </c:pt>
                <c:pt idx="586">
                  <c:v>57.931215029212879</c:v>
                </c:pt>
                <c:pt idx="587">
                  <c:v>57.931477491443218</c:v>
                </c:pt>
                <c:pt idx="588">
                  <c:v>57.931739951398754</c:v>
                </c:pt>
                <c:pt idx="589">
                  <c:v>57.932002409079452</c:v>
                </c:pt>
                <c:pt idx="590">
                  <c:v>57.932264864485354</c:v>
                </c:pt>
                <c:pt idx="591">
                  <c:v>57.932527317616412</c:v>
                </c:pt>
                <c:pt idx="592">
                  <c:v>57.932789768472638</c:v>
                </c:pt>
                <c:pt idx="593">
                  <c:v>57.933052217054069</c:v>
                </c:pt>
                <c:pt idx="594">
                  <c:v>57.933314663360697</c:v>
                </c:pt>
                <c:pt idx="595">
                  <c:v>57.93357710739248</c:v>
                </c:pt>
                <c:pt idx="596">
                  <c:v>57.933839549149461</c:v>
                </c:pt>
                <c:pt idx="597">
                  <c:v>57.934101988631618</c:v>
                </c:pt>
                <c:pt idx="598">
                  <c:v>57.934364425838965</c:v>
                </c:pt>
                <c:pt idx="599">
                  <c:v>57.934626860771509</c:v>
                </c:pt>
                <c:pt idx="600">
                  <c:v>57.934889293429258</c:v>
                </c:pt>
                <c:pt idx="601">
                  <c:v>57.935151723812204</c:v>
                </c:pt>
                <c:pt idx="602">
                  <c:v>57.935414151920305</c:v>
                </c:pt>
                <c:pt idx="603">
                  <c:v>57.935676577753625</c:v>
                </c:pt>
                <c:pt idx="604">
                  <c:v>57.935939001312136</c:v>
                </c:pt>
                <c:pt idx="605">
                  <c:v>57.936201422595865</c:v>
                </c:pt>
                <c:pt idx="606">
                  <c:v>57.936463841604777</c:v>
                </c:pt>
                <c:pt idx="607">
                  <c:v>57.936726258338872</c:v>
                </c:pt>
                <c:pt idx="608">
                  <c:v>57.936988672798208</c:v>
                </c:pt>
                <c:pt idx="609">
                  <c:v>57.937251084982734</c:v>
                </c:pt>
                <c:pt idx="610">
                  <c:v>57.937513494892464</c:v>
                </c:pt>
                <c:pt idx="611">
                  <c:v>57.937775902527392</c:v>
                </c:pt>
                <c:pt idx="612">
                  <c:v>57.938038307887545</c:v>
                </c:pt>
                <c:pt idx="613">
                  <c:v>57.938300710972896</c:v>
                </c:pt>
                <c:pt idx="614">
                  <c:v>57.938563111783445</c:v>
                </c:pt>
                <c:pt idx="615">
                  <c:v>57.938825510319234</c:v>
                </c:pt>
                <c:pt idx="616">
                  <c:v>57.93908790658022</c:v>
                </c:pt>
                <c:pt idx="617">
                  <c:v>57.939350300566403</c:v>
                </c:pt>
                <c:pt idx="618">
                  <c:v>57.939612692277827</c:v>
                </c:pt>
                <c:pt idx="619">
                  <c:v>57.939875081714476</c:v>
                </c:pt>
                <c:pt idx="620">
                  <c:v>57.94013746887633</c:v>
                </c:pt>
                <c:pt idx="621">
                  <c:v>57.940399853763395</c:v>
                </c:pt>
                <c:pt idx="622">
                  <c:v>57.940662236375687</c:v>
                </c:pt>
                <c:pt idx="623">
                  <c:v>57.940924616713211</c:v>
                </c:pt>
                <c:pt idx="624">
                  <c:v>57.941186994775954</c:v>
                </c:pt>
                <c:pt idx="625">
                  <c:v>57.94144937056393</c:v>
                </c:pt>
                <c:pt idx="626">
                  <c:v>57.941711744077111</c:v>
                </c:pt>
                <c:pt idx="627">
                  <c:v>57.94197411531556</c:v>
                </c:pt>
                <c:pt idx="628">
                  <c:v>57.942236484279199</c:v>
                </c:pt>
                <c:pt idx="629">
                  <c:v>57.942498850968086</c:v>
                </c:pt>
                <c:pt idx="630">
                  <c:v>57.942761215382205</c:v>
                </c:pt>
                <c:pt idx="631">
                  <c:v>57.943023577521572</c:v>
                </c:pt>
                <c:pt idx="632">
                  <c:v>57.94328593738615</c:v>
                </c:pt>
                <c:pt idx="633">
                  <c:v>57.943548294975976</c:v>
                </c:pt>
                <c:pt idx="634">
                  <c:v>57.943810650291034</c:v>
                </c:pt>
                <c:pt idx="635">
                  <c:v>57.944073003331312</c:v>
                </c:pt>
                <c:pt idx="636">
                  <c:v>57.944335354096879</c:v>
                </c:pt>
                <c:pt idx="637">
                  <c:v>57.944597702587672</c:v>
                </c:pt>
                <c:pt idx="638">
                  <c:v>57.944860048803676</c:v>
                </c:pt>
                <c:pt idx="639">
                  <c:v>57.945122392744942</c:v>
                </c:pt>
                <c:pt idx="640">
                  <c:v>57.945384734411483</c:v>
                </c:pt>
                <c:pt idx="641">
                  <c:v>57.945647073803244</c:v>
                </c:pt>
                <c:pt idx="642">
                  <c:v>57.945909410920265</c:v>
                </c:pt>
                <c:pt idx="643">
                  <c:v>57.94617174576252</c:v>
                </c:pt>
                <c:pt idx="644">
                  <c:v>57.946434078330043</c:v>
                </c:pt>
                <c:pt idx="645">
                  <c:v>57.946696408622827</c:v>
                </c:pt>
                <c:pt idx="646">
                  <c:v>57.946958736640831</c:v>
                </c:pt>
                <c:pt idx="647">
                  <c:v>57.947221062384116</c:v>
                </c:pt>
                <c:pt idx="648">
                  <c:v>57.947483385852635</c:v>
                </c:pt>
                <c:pt idx="649">
                  <c:v>57.947745707046423</c:v>
                </c:pt>
                <c:pt idx="650">
                  <c:v>57.948008025965486</c:v>
                </c:pt>
                <c:pt idx="651">
                  <c:v>57.94827034260981</c:v>
                </c:pt>
                <c:pt idx="652">
                  <c:v>57.948532656979388</c:v>
                </c:pt>
                <c:pt idx="653">
                  <c:v>57.948794969074228</c:v>
                </c:pt>
                <c:pt idx="654">
                  <c:v>57.94905727889433</c:v>
                </c:pt>
                <c:pt idx="655">
                  <c:v>57.949319586439707</c:v>
                </c:pt>
                <c:pt idx="656">
                  <c:v>57.949581891710338</c:v>
                </c:pt>
                <c:pt idx="657">
                  <c:v>57.949844194706237</c:v>
                </c:pt>
                <c:pt idx="658">
                  <c:v>57.950106495427441</c:v>
                </c:pt>
                <c:pt idx="659">
                  <c:v>57.950368793873892</c:v>
                </c:pt>
                <c:pt idx="660">
                  <c:v>57.950631090045626</c:v>
                </c:pt>
                <c:pt idx="661">
                  <c:v>57.950893383942606</c:v>
                </c:pt>
                <c:pt idx="662">
                  <c:v>57.951155675564898</c:v>
                </c:pt>
                <c:pt idx="663">
                  <c:v>57.951417964912451</c:v>
                </c:pt>
                <c:pt idx="664">
                  <c:v>57.951680251985287</c:v>
                </c:pt>
                <c:pt idx="665">
                  <c:v>57.951942536783406</c:v>
                </c:pt>
                <c:pt idx="666">
                  <c:v>57.952204819306814</c:v>
                </c:pt>
                <c:pt idx="667">
                  <c:v>57.952467099555484</c:v>
                </c:pt>
                <c:pt idx="668">
                  <c:v>57.952729377529479</c:v>
                </c:pt>
                <c:pt idx="669">
                  <c:v>57.9529916532287</c:v>
                </c:pt>
                <c:pt idx="670">
                  <c:v>57.953253926653225</c:v>
                </c:pt>
                <c:pt idx="671">
                  <c:v>57.953516197803069</c:v>
                </c:pt>
                <c:pt idx="672">
                  <c:v>57.953778466678209</c:v>
                </c:pt>
                <c:pt idx="673">
                  <c:v>57.954040733278603</c:v>
                </c:pt>
                <c:pt idx="674">
                  <c:v>57.954302997604316</c:v>
                </c:pt>
                <c:pt idx="675">
                  <c:v>57.954565259655311</c:v>
                </c:pt>
                <c:pt idx="676">
                  <c:v>57.95482751943161</c:v>
                </c:pt>
                <c:pt idx="677">
                  <c:v>57.955089776933214</c:v>
                </c:pt>
                <c:pt idx="678">
                  <c:v>57.955352032160079</c:v>
                </c:pt>
                <c:pt idx="679">
                  <c:v>57.955614285112276</c:v>
                </c:pt>
                <c:pt idx="680">
                  <c:v>57.955876535789749</c:v>
                </c:pt>
                <c:pt idx="681">
                  <c:v>57.956138784192554</c:v>
                </c:pt>
                <c:pt idx="682">
                  <c:v>57.956401030320649</c:v>
                </c:pt>
                <c:pt idx="683">
                  <c:v>57.956663274174048</c:v>
                </c:pt>
                <c:pt idx="684">
                  <c:v>57.956925515752765</c:v>
                </c:pt>
                <c:pt idx="685">
                  <c:v>57.957187755056793</c:v>
                </c:pt>
                <c:pt idx="686">
                  <c:v>57.957449992086097</c:v>
                </c:pt>
                <c:pt idx="687">
                  <c:v>57.957712226840762</c:v>
                </c:pt>
                <c:pt idx="688">
                  <c:v>57.957974459320717</c:v>
                </c:pt>
                <c:pt idx="689">
                  <c:v>57.95823668952599</c:v>
                </c:pt>
                <c:pt idx="690">
                  <c:v>57.958498917456552</c:v>
                </c:pt>
                <c:pt idx="691">
                  <c:v>57.95876114311244</c:v>
                </c:pt>
                <c:pt idx="692">
                  <c:v>57.959023366493668</c:v>
                </c:pt>
                <c:pt idx="693">
                  <c:v>57.959285587600206</c:v>
                </c:pt>
                <c:pt idx="694">
                  <c:v>57.959547806432049</c:v>
                </c:pt>
                <c:pt idx="695">
                  <c:v>57.959810022989224</c:v>
                </c:pt>
                <c:pt idx="696">
                  <c:v>57.960072237271689</c:v>
                </c:pt>
                <c:pt idx="697">
                  <c:v>57.960334449279529</c:v>
                </c:pt>
                <c:pt idx="698">
                  <c:v>57.960596659012694</c:v>
                </c:pt>
                <c:pt idx="699">
                  <c:v>57.960858866471156</c:v>
                </c:pt>
                <c:pt idx="700">
                  <c:v>57.961121071654944</c:v>
                </c:pt>
                <c:pt idx="701">
                  <c:v>57.961383274564113</c:v>
                </c:pt>
                <c:pt idx="702">
                  <c:v>57.961645475198566</c:v>
                </c:pt>
                <c:pt idx="703">
                  <c:v>57.961907673558372</c:v>
                </c:pt>
                <c:pt idx="704">
                  <c:v>57.962169869643489</c:v>
                </c:pt>
                <c:pt idx="705">
                  <c:v>57.962432063453953</c:v>
                </c:pt>
                <c:pt idx="706">
                  <c:v>57.962694254989756</c:v>
                </c:pt>
                <c:pt idx="707">
                  <c:v>57.962956444250921</c:v>
                </c:pt>
                <c:pt idx="708">
                  <c:v>57.963218631237389</c:v>
                </c:pt>
                <c:pt idx="709">
                  <c:v>57.963480815949239</c:v>
                </c:pt>
                <c:pt idx="710">
                  <c:v>57.963742998386401</c:v>
                </c:pt>
                <c:pt idx="711">
                  <c:v>57.964005178548916</c:v>
                </c:pt>
                <c:pt idx="712">
                  <c:v>57.964267356436785</c:v>
                </c:pt>
                <c:pt idx="713">
                  <c:v>57.96452953204998</c:v>
                </c:pt>
                <c:pt idx="714">
                  <c:v>57.964791705388556</c:v>
                </c:pt>
                <c:pt idx="715">
                  <c:v>57.965053876452458</c:v>
                </c:pt>
                <c:pt idx="716">
                  <c:v>57.965316045241742</c:v>
                </c:pt>
                <c:pt idx="717">
                  <c:v>57.965578211756352</c:v>
                </c:pt>
                <c:pt idx="718">
                  <c:v>57.965840375996301</c:v>
                </c:pt>
                <c:pt idx="719">
                  <c:v>57.966102537961632</c:v>
                </c:pt>
                <c:pt idx="720">
                  <c:v>57.966364697652331</c:v>
                </c:pt>
                <c:pt idx="721">
                  <c:v>57.96662685506837</c:v>
                </c:pt>
                <c:pt idx="722">
                  <c:v>57.966889010209762</c:v>
                </c:pt>
                <c:pt idx="723">
                  <c:v>57.967151163076558</c:v>
                </c:pt>
                <c:pt idx="724">
                  <c:v>57.967413313668672</c:v>
                </c:pt>
                <c:pt idx="725">
                  <c:v>57.967675461986154</c:v>
                </c:pt>
                <c:pt idx="726">
                  <c:v>57.967937608029018</c:v>
                </c:pt>
                <c:pt idx="727">
                  <c:v>57.96819975179725</c:v>
                </c:pt>
                <c:pt idx="728">
                  <c:v>57.968461893290851</c:v>
                </c:pt>
                <c:pt idx="729">
                  <c:v>57.96872403250979</c:v>
                </c:pt>
                <c:pt idx="730">
                  <c:v>57.968986169454126</c:v>
                </c:pt>
                <c:pt idx="731">
                  <c:v>57.969248304123845</c:v>
                </c:pt>
                <c:pt idx="732">
                  <c:v>57.969510436518917</c:v>
                </c:pt>
                <c:pt idx="733">
                  <c:v>57.969772566639371</c:v>
                </c:pt>
                <c:pt idx="734">
                  <c:v>57.970034694485207</c:v>
                </c:pt>
                <c:pt idx="735">
                  <c:v>57.970296820056411</c:v>
                </c:pt>
                <c:pt idx="736">
                  <c:v>57.970558943353026</c:v>
                </c:pt>
                <c:pt idx="737">
                  <c:v>57.970821064374988</c:v>
                </c:pt>
                <c:pt idx="738">
                  <c:v>57.971083183122339</c:v>
                </c:pt>
                <c:pt idx="739">
                  <c:v>57.971345299595065</c:v>
                </c:pt>
                <c:pt idx="740">
                  <c:v>57.971607413793187</c:v>
                </c:pt>
                <c:pt idx="741">
                  <c:v>57.971869525716706</c:v>
                </c:pt>
                <c:pt idx="742">
                  <c:v>57.972131635365599</c:v>
                </c:pt>
                <c:pt idx="743">
                  <c:v>57.972393742739889</c:v>
                </c:pt>
                <c:pt idx="744">
                  <c:v>57.972655847839576</c:v>
                </c:pt>
                <c:pt idx="745">
                  <c:v>57.972917950664623</c:v>
                </c:pt>
                <c:pt idx="746">
                  <c:v>57.97318005121511</c:v>
                </c:pt>
                <c:pt idx="747">
                  <c:v>57.97344214949095</c:v>
                </c:pt>
                <c:pt idx="748">
                  <c:v>57.973704245492229</c:v>
                </c:pt>
                <c:pt idx="749">
                  <c:v>57.973966339218862</c:v>
                </c:pt>
                <c:pt idx="750">
                  <c:v>57.974228430670934</c:v>
                </c:pt>
                <c:pt idx="751">
                  <c:v>57.974490519848388</c:v>
                </c:pt>
                <c:pt idx="752">
                  <c:v>57.974752606751238</c:v>
                </c:pt>
                <c:pt idx="753">
                  <c:v>57.975014691379492</c:v>
                </c:pt>
                <c:pt idx="754">
                  <c:v>57.975276773733171</c:v>
                </c:pt>
                <c:pt idx="755">
                  <c:v>57.975538853812232</c:v>
                </c:pt>
                <c:pt idx="756">
                  <c:v>57.975800931616739</c:v>
                </c:pt>
                <c:pt idx="757">
                  <c:v>57.976063007146607</c:v>
                </c:pt>
                <c:pt idx="758">
                  <c:v>57.976325080401914</c:v>
                </c:pt>
                <c:pt idx="759">
                  <c:v>57.976587151382645</c:v>
                </c:pt>
                <c:pt idx="760">
                  <c:v>57.976849220088795</c:v>
                </c:pt>
                <c:pt idx="761">
                  <c:v>57.977111286520319</c:v>
                </c:pt>
                <c:pt idx="762">
                  <c:v>57.977373350677276</c:v>
                </c:pt>
                <c:pt idx="763">
                  <c:v>57.977635412559671</c:v>
                </c:pt>
                <c:pt idx="764">
                  <c:v>57.977897472167456</c:v>
                </c:pt>
                <c:pt idx="765">
                  <c:v>57.978159529500665</c:v>
                </c:pt>
                <c:pt idx="766">
                  <c:v>57.978421584559314</c:v>
                </c:pt>
                <c:pt idx="767">
                  <c:v>57.978683637343373</c:v>
                </c:pt>
                <c:pt idx="768">
                  <c:v>57.978945687852864</c:v>
                </c:pt>
                <c:pt idx="769">
                  <c:v>57.979207736087808</c:v>
                </c:pt>
                <c:pt idx="770">
                  <c:v>57.97946978204812</c:v>
                </c:pt>
                <c:pt idx="771">
                  <c:v>57.979731825733907</c:v>
                </c:pt>
                <c:pt idx="772">
                  <c:v>57.979993867145112</c:v>
                </c:pt>
                <c:pt idx="773">
                  <c:v>57.980255906281741</c:v>
                </c:pt>
                <c:pt idx="774">
                  <c:v>57.980517943143816</c:v>
                </c:pt>
                <c:pt idx="775">
                  <c:v>57.980779977731316</c:v>
                </c:pt>
                <c:pt idx="776">
                  <c:v>57.981042010044277</c:v>
                </c:pt>
                <c:pt idx="777">
                  <c:v>57.981304040082662</c:v>
                </c:pt>
                <c:pt idx="778">
                  <c:v>57.981566067846458</c:v>
                </c:pt>
                <c:pt idx="779">
                  <c:v>57.981828093335729</c:v>
                </c:pt>
                <c:pt idx="780">
                  <c:v>57.982090116550431</c:v>
                </c:pt>
                <c:pt idx="781">
                  <c:v>57.982352137490565</c:v>
                </c:pt>
                <c:pt idx="782">
                  <c:v>57.982614156156146</c:v>
                </c:pt>
                <c:pt idx="783">
                  <c:v>57.982876172547186</c:v>
                </c:pt>
                <c:pt idx="784">
                  <c:v>57.983138186663695</c:v>
                </c:pt>
                <c:pt idx="785">
                  <c:v>57.98340019850562</c:v>
                </c:pt>
                <c:pt idx="786">
                  <c:v>57.983662208073014</c:v>
                </c:pt>
                <c:pt idx="787">
                  <c:v>57.983924215365874</c:v>
                </c:pt>
                <c:pt idx="788">
                  <c:v>57.984186220384146</c:v>
                </c:pt>
                <c:pt idx="789">
                  <c:v>57.984448223127892</c:v>
                </c:pt>
                <c:pt idx="790">
                  <c:v>57.984710223597084</c:v>
                </c:pt>
                <c:pt idx="791">
                  <c:v>57.984972221791764</c:v>
                </c:pt>
                <c:pt idx="792">
                  <c:v>57.985234217711898</c:v>
                </c:pt>
                <c:pt idx="793">
                  <c:v>57.985496211357486</c:v>
                </c:pt>
                <c:pt idx="794">
                  <c:v>57.98575820272854</c:v>
                </c:pt>
                <c:pt idx="795">
                  <c:v>57.986020191825048</c:v>
                </c:pt>
                <c:pt idx="796">
                  <c:v>57.986282178647023</c:v>
                </c:pt>
                <c:pt idx="797">
                  <c:v>57.986544163194466</c:v>
                </c:pt>
                <c:pt idx="798">
                  <c:v>57.986806145467362</c:v>
                </c:pt>
                <c:pt idx="799">
                  <c:v>57.987068125465768</c:v>
                </c:pt>
                <c:pt idx="800">
                  <c:v>57.987330103189592</c:v>
                </c:pt>
                <c:pt idx="801">
                  <c:v>57.987592078638926</c:v>
                </c:pt>
                <c:pt idx="802">
                  <c:v>57.987854051813727</c:v>
                </c:pt>
                <c:pt idx="803">
                  <c:v>57.988116022714003</c:v>
                </c:pt>
                <c:pt idx="804">
                  <c:v>57.988377991339753</c:v>
                </c:pt>
                <c:pt idx="805">
                  <c:v>57.988639957690978</c:v>
                </c:pt>
                <c:pt idx="806">
                  <c:v>57.988901921767678</c:v>
                </c:pt>
                <c:pt idx="807">
                  <c:v>57.989163883569887</c:v>
                </c:pt>
                <c:pt idx="808">
                  <c:v>57.989425843097557</c:v>
                </c:pt>
                <c:pt idx="809">
                  <c:v>57.98968780035073</c:v>
                </c:pt>
                <c:pt idx="810">
                  <c:v>57.98994975532937</c:v>
                </c:pt>
                <c:pt idx="811">
                  <c:v>57.990211708033506</c:v>
                </c:pt>
                <c:pt idx="812">
                  <c:v>57.99047365846311</c:v>
                </c:pt>
                <c:pt idx="813">
                  <c:v>57.990735606618216</c:v>
                </c:pt>
                <c:pt idx="814">
                  <c:v>57.990997552498818</c:v>
                </c:pt>
                <c:pt idx="815">
                  <c:v>57.991259496104909</c:v>
                </c:pt>
                <c:pt idx="816">
                  <c:v>57.991521437436489</c:v>
                </c:pt>
                <c:pt idx="817">
                  <c:v>57.991783376493579</c:v>
                </c:pt>
                <c:pt idx="818">
                  <c:v>57.992045313276151</c:v>
                </c:pt>
                <c:pt idx="819">
                  <c:v>57.992307247784233</c:v>
                </c:pt>
                <c:pt idx="820">
                  <c:v>57.992569180017824</c:v>
                </c:pt>
                <c:pt idx="821">
                  <c:v>57.992831109976912</c:v>
                </c:pt>
                <c:pt idx="822">
                  <c:v>57.993093037661495</c:v>
                </c:pt>
                <c:pt idx="823">
                  <c:v>57.99335496307156</c:v>
                </c:pt>
                <c:pt idx="824">
                  <c:v>57.993616886207171</c:v>
                </c:pt>
                <c:pt idx="825">
                  <c:v>57.993878807068278</c:v>
                </c:pt>
                <c:pt idx="826">
                  <c:v>57.994140725654866</c:v>
                </c:pt>
                <c:pt idx="827">
                  <c:v>57.994402641967007</c:v>
                </c:pt>
                <c:pt idx="828">
                  <c:v>57.994664556004629</c:v>
                </c:pt>
                <c:pt idx="829">
                  <c:v>57.994926467767769</c:v>
                </c:pt>
                <c:pt idx="830">
                  <c:v>57.995188377256405</c:v>
                </c:pt>
                <c:pt idx="831">
                  <c:v>57.995450284470586</c:v>
                </c:pt>
                <c:pt idx="832">
                  <c:v>57.99571218941027</c:v>
                </c:pt>
                <c:pt idx="833">
                  <c:v>57.995974092075492</c:v>
                </c:pt>
                <c:pt idx="834">
                  <c:v>57.996235992466197</c:v>
                </c:pt>
                <c:pt idx="835">
                  <c:v>57.996497890582468</c:v>
                </c:pt>
                <c:pt idx="836">
                  <c:v>57.996759786424242</c:v>
                </c:pt>
                <c:pt idx="837">
                  <c:v>57.997021679991555</c:v>
                </c:pt>
                <c:pt idx="838">
                  <c:v>57.997283571284363</c:v>
                </c:pt>
                <c:pt idx="839">
                  <c:v>57.997545460302725</c:v>
                </c:pt>
                <c:pt idx="840">
                  <c:v>57.997807347046603</c:v>
                </c:pt>
                <c:pt idx="841">
                  <c:v>57.998069231516048</c:v>
                </c:pt>
                <c:pt idx="842">
                  <c:v>57.998331113710961</c:v>
                </c:pt>
                <c:pt idx="843">
                  <c:v>57.998592993631455</c:v>
                </c:pt>
                <c:pt idx="844">
                  <c:v>57.998854871277473</c:v>
                </c:pt>
                <c:pt idx="845">
                  <c:v>57.99911674664903</c:v>
                </c:pt>
                <c:pt idx="846">
                  <c:v>57.999378619746096</c:v>
                </c:pt>
                <c:pt idx="847">
                  <c:v>57.999640490568744</c:v>
                </c:pt>
                <c:pt idx="848">
                  <c:v>57.999902359116916</c:v>
                </c:pt>
                <c:pt idx="849">
                  <c:v>58.000164225390627</c:v>
                </c:pt>
                <c:pt idx="850">
                  <c:v>58.000426089389855</c:v>
                </c:pt>
                <c:pt idx="851">
                  <c:v>58.000687951114678</c:v>
                </c:pt>
                <c:pt idx="852">
                  <c:v>58.000949810565018</c:v>
                </c:pt>
                <c:pt idx="853">
                  <c:v>58.001211667740932</c:v>
                </c:pt>
                <c:pt idx="854">
                  <c:v>58.001473522642378</c:v>
                </c:pt>
                <c:pt idx="855">
                  <c:v>58.001735375269384</c:v>
                </c:pt>
                <c:pt idx="856">
                  <c:v>58.001997225621928</c:v>
                </c:pt>
                <c:pt idx="857">
                  <c:v>58.002259073700053</c:v>
                </c:pt>
                <c:pt idx="858">
                  <c:v>58.002520919503702</c:v>
                </c:pt>
                <c:pt idx="859">
                  <c:v>58.002782763032918</c:v>
                </c:pt>
                <c:pt idx="860">
                  <c:v>58.003044604287702</c:v>
                </c:pt>
                <c:pt idx="861">
                  <c:v>58.003306443268038</c:v>
                </c:pt>
                <c:pt idx="862">
                  <c:v>58.00356827997394</c:v>
                </c:pt>
                <c:pt idx="863">
                  <c:v>58.003830114405389</c:v>
                </c:pt>
                <c:pt idx="864">
                  <c:v>58.004091946562426</c:v>
                </c:pt>
                <c:pt idx="865">
                  <c:v>58.004353776444987</c:v>
                </c:pt>
                <c:pt idx="866">
                  <c:v>58.004615604053157</c:v>
                </c:pt>
                <c:pt idx="867">
                  <c:v>58.004877429386902</c:v>
                </c:pt>
                <c:pt idx="868">
                  <c:v>58.005139252446192</c:v>
                </c:pt>
                <c:pt idx="869">
                  <c:v>58.005401073231027</c:v>
                </c:pt>
                <c:pt idx="870">
                  <c:v>58.005662891741494</c:v>
                </c:pt>
                <c:pt idx="871">
                  <c:v>58.005924707977499</c:v>
                </c:pt>
                <c:pt idx="872">
                  <c:v>58.006186521939092</c:v>
                </c:pt>
                <c:pt idx="873">
                  <c:v>58.006448333626281</c:v>
                </c:pt>
                <c:pt idx="874">
                  <c:v>58.006710143039022</c:v>
                </c:pt>
                <c:pt idx="875">
                  <c:v>58.006971950177373</c:v>
                </c:pt>
                <c:pt idx="876">
                  <c:v>58.007233755041277</c:v>
                </c:pt>
                <c:pt idx="877">
                  <c:v>58.007495557630754</c:v>
                </c:pt>
                <c:pt idx="878">
                  <c:v>58.007757357945835</c:v>
                </c:pt>
                <c:pt idx="879">
                  <c:v>58.008019155986517</c:v>
                </c:pt>
                <c:pt idx="880">
                  <c:v>58.008280951752766</c:v>
                </c:pt>
                <c:pt idx="881">
                  <c:v>58.008542745244611</c:v>
                </c:pt>
                <c:pt idx="882">
                  <c:v>58.008804536462023</c:v>
                </c:pt>
                <c:pt idx="883">
                  <c:v>58.009066325405072</c:v>
                </c:pt>
                <c:pt idx="884">
                  <c:v>58.009328112073689</c:v>
                </c:pt>
                <c:pt idx="885">
                  <c:v>58.009589896467901</c:v>
                </c:pt>
                <c:pt idx="886">
                  <c:v>58.009851678587722</c:v>
                </c:pt>
                <c:pt idx="887">
                  <c:v>58.010113458433139</c:v>
                </c:pt>
                <c:pt idx="888">
                  <c:v>58.010375236004144</c:v>
                </c:pt>
                <c:pt idx="889">
                  <c:v>58.010637011300766</c:v>
                </c:pt>
                <c:pt idx="890">
                  <c:v>58.010898784322983</c:v>
                </c:pt>
                <c:pt idx="891">
                  <c:v>58.011160555070823</c:v>
                </c:pt>
                <c:pt idx="892">
                  <c:v>58.011422323544245</c:v>
                </c:pt>
                <c:pt idx="893">
                  <c:v>58.01168408974327</c:v>
                </c:pt>
                <c:pt idx="894">
                  <c:v>58.011945853667889</c:v>
                </c:pt>
                <c:pt idx="895">
                  <c:v>58.01220761531814</c:v>
                </c:pt>
                <c:pt idx="896">
                  <c:v>58.012469374694007</c:v>
                </c:pt>
                <c:pt idx="897">
                  <c:v>58.012731131795483</c:v>
                </c:pt>
                <c:pt idx="898">
                  <c:v>58.01299288662257</c:v>
                </c:pt>
                <c:pt idx="899">
                  <c:v>58.013254639175265</c:v>
                </c:pt>
                <c:pt idx="900">
                  <c:v>58.013516389453585</c:v>
                </c:pt>
                <c:pt idx="901">
                  <c:v>58.013778137457528</c:v>
                </c:pt>
                <c:pt idx="902">
                  <c:v>58.014039883187095</c:v>
                </c:pt>
                <c:pt idx="903">
                  <c:v>58.014301626642279</c:v>
                </c:pt>
                <c:pt idx="904">
                  <c:v>58.014563367823101</c:v>
                </c:pt>
                <c:pt idx="905">
                  <c:v>58.014825106729539</c:v>
                </c:pt>
                <c:pt idx="906">
                  <c:v>58.015086843361594</c:v>
                </c:pt>
                <c:pt idx="907">
                  <c:v>58.01534857771928</c:v>
                </c:pt>
                <c:pt idx="908">
                  <c:v>58.015610309802604</c:v>
                </c:pt>
                <c:pt idx="909">
                  <c:v>58.015872039611544</c:v>
                </c:pt>
                <c:pt idx="910">
                  <c:v>58.01613376714613</c:v>
                </c:pt>
                <c:pt idx="911">
                  <c:v>58.016395492406339</c:v>
                </c:pt>
                <c:pt idx="912">
                  <c:v>58.016657215392208</c:v>
                </c:pt>
                <c:pt idx="913">
                  <c:v>58.016918936103671</c:v>
                </c:pt>
                <c:pt idx="914">
                  <c:v>58.017180654540809</c:v>
                </c:pt>
                <c:pt idx="915">
                  <c:v>58.017442370703577</c:v>
                </c:pt>
                <c:pt idx="916">
                  <c:v>58.01770408459199</c:v>
                </c:pt>
                <c:pt idx="917">
                  <c:v>58.01796579620602</c:v>
                </c:pt>
                <c:pt idx="918">
                  <c:v>58.018227505545738</c:v>
                </c:pt>
                <c:pt idx="919">
                  <c:v>58.018489212611065</c:v>
                </c:pt>
                <c:pt idx="920">
                  <c:v>58.018750917402038</c:v>
                </c:pt>
                <c:pt idx="921">
                  <c:v>58.019012619918684</c:v>
                </c:pt>
                <c:pt idx="922">
                  <c:v>58.019274320160982</c:v>
                </c:pt>
                <c:pt idx="923">
                  <c:v>58.019536018128932</c:v>
                </c:pt>
                <c:pt idx="924">
                  <c:v>58.019797713822506</c:v>
                </c:pt>
                <c:pt idx="925">
                  <c:v>58.02005940724176</c:v>
                </c:pt>
                <c:pt idx="926">
                  <c:v>58.020321098386653</c:v>
                </c:pt>
                <c:pt idx="927">
                  <c:v>58.020582787257212</c:v>
                </c:pt>
                <c:pt idx="928">
                  <c:v>58.02084447385343</c:v>
                </c:pt>
                <c:pt idx="929">
                  <c:v>58.021106158175314</c:v>
                </c:pt>
                <c:pt idx="930">
                  <c:v>58.021367840222879</c:v>
                </c:pt>
                <c:pt idx="931">
                  <c:v>58.021629519996075</c:v>
                </c:pt>
                <c:pt idx="932">
                  <c:v>58.021891197494945</c:v>
                </c:pt>
                <c:pt idx="933">
                  <c:v>58.022152872719502</c:v>
                </c:pt>
                <c:pt idx="934">
                  <c:v>58.022414545669697</c:v>
                </c:pt>
                <c:pt idx="935">
                  <c:v>58.022676216345552</c:v>
                </c:pt>
                <c:pt idx="936">
                  <c:v>58.022937884747115</c:v>
                </c:pt>
                <c:pt idx="937">
                  <c:v>58.023199550874352</c:v>
                </c:pt>
                <c:pt idx="938">
                  <c:v>58.023461214727256</c:v>
                </c:pt>
                <c:pt idx="939">
                  <c:v>58.023722876305818</c:v>
                </c:pt>
                <c:pt idx="940">
                  <c:v>58.02398453561009</c:v>
                </c:pt>
                <c:pt idx="941">
                  <c:v>58.024246192640014</c:v>
                </c:pt>
                <c:pt idx="942">
                  <c:v>58.024507847395611</c:v>
                </c:pt>
                <c:pt idx="943">
                  <c:v>58.024769499876932</c:v>
                </c:pt>
                <c:pt idx="944">
                  <c:v>58.025031150083898</c:v>
                </c:pt>
                <c:pt idx="945">
                  <c:v>58.025292798016579</c:v>
                </c:pt>
                <c:pt idx="946">
                  <c:v>58.02555444367492</c:v>
                </c:pt>
                <c:pt idx="947">
                  <c:v>58.025816087058956</c:v>
                </c:pt>
                <c:pt idx="948">
                  <c:v>58.026077728168694</c:v>
                </c:pt>
                <c:pt idx="949">
                  <c:v>58.026339367004077</c:v>
                </c:pt>
                <c:pt idx="950">
                  <c:v>58.026601003565204</c:v>
                </c:pt>
                <c:pt idx="951">
                  <c:v>58.026862637852012</c:v>
                </c:pt>
                <c:pt idx="952">
                  <c:v>58.027124269864508</c:v>
                </c:pt>
                <c:pt idx="953">
                  <c:v>58.027385899602713</c:v>
                </c:pt>
                <c:pt idx="954">
                  <c:v>58.027647527066605</c:v>
                </c:pt>
                <c:pt idx="955">
                  <c:v>58.027909152256186</c:v>
                </c:pt>
                <c:pt idx="956">
                  <c:v>58.028170775171482</c:v>
                </c:pt>
                <c:pt idx="957">
                  <c:v>58.028432395812466</c:v>
                </c:pt>
                <c:pt idx="958">
                  <c:v>58.028694014179187</c:v>
                </c:pt>
                <c:pt idx="959">
                  <c:v>58.028955630271582</c:v>
                </c:pt>
                <c:pt idx="960">
                  <c:v>58.029217244089729</c:v>
                </c:pt>
                <c:pt idx="961">
                  <c:v>58.029478855633549</c:v>
                </c:pt>
                <c:pt idx="962">
                  <c:v>58.029740464903071</c:v>
                </c:pt>
                <c:pt idx="963">
                  <c:v>58.030002071898323</c:v>
                </c:pt>
                <c:pt idx="964">
                  <c:v>58.030263676619306</c:v>
                </c:pt>
                <c:pt idx="965">
                  <c:v>58.030525279065948</c:v>
                </c:pt>
                <c:pt idx="966">
                  <c:v>58.030786879238349</c:v>
                </c:pt>
                <c:pt idx="967">
                  <c:v>58.031048477136487</c:v>
                </c:pt>
                <c:pt idx="968">
                  <c:v>58.031310072760284</c:v>
                </c:pt>
                <c:pt idx="969">
                  <c:v>58.031571666109862</c:v>
                </c:pt>
                <c:pt idx="970">
                  <c:v>58.031833257185127</c:v>
                </c:pt>
                <c:pt idx="971">
                  <c:v>58.03209484598613</c:v>
                </c:pt>
                <c:pt idx="972">
                  <c:v>58.032356432512884</c:v>
                </c:pt>
                <c:pt idx="973">
                  <c:v>58.032618016765298</c:v>
                </c:pt>
                <c:pt idx="974">
                  <c:v>58.032879598743506</c:v>
                </c:pt>
                <c:pt idx="975">
                  <c:v>58.033141178447423</c:v>
                </c:pt>
                <c:pt idx="976">
                  <c:v>58.033402755877063</c:v>
                </c:pt>
                <c:pt idx="977">
                  <c:v>58.033664331032426</c:v>
                </c:pt>
                <c:pt idx="978">
                  <c:v>58.033925903913556</c:v>
                </c:pt>
                <c:pt idx="979">
                  <c:v>58.034187474520401</c:v>
                </c:pt>
                <c:pt idx="980">
                  <c:v>58.03444904285297</c:v>
                </c:pt>
                <c:pt idx="981">
                  <c:v>58.034710608911297</c:v>
                </c:pt>
                <c:pt idx="982">
                  <c:v>58.034972172695397</c:v>
                </c:pt>
                <c:pt idx="983">
                  <c:v>58.0352337342052</c:v>
                </c:pt>
                <c:pt idx="984">
                  <c:v>58.035495293440754</c:v>
                </c:pt>
                <c:pt idx="985">
                  <c:v>58.035756850402066</c:v>
                </c:pt>
                <c:pt idx="986">
                  <c:v>58.036018405089116</c:v>
                </c:pt>
                <c:pt idx="987">
                  <c:v>58.036279957501925</c:v>
                </c:pt>
                <c:pt idx="988">
                  <c:v>58.036541507640479</c:v>
                </c:pt>
                <c:pt idx="989">
                  <c:v>58.03680305550477</c:v>
                </c:pt>
                <c:pt idx="990">
                  <c:v>58.037064601094833</c:v>
                </c:pt>
                <c:pt idx="991">
                  <c:v>58.037326144410635</c:v>
                </c:pt>
                <c:pt idx="992">
                  <c:v>58.037587685452195</c:v>
                </c:pt>
                <c:pt idx="993">
                  <c:v>58.037849224219528</c:v>
                </c:pt>
                <c:pt idx="994">
                  <c:v>58.038110760712598</c:v>
                </c:pt>
                <c:pt idx="995">
                  <c:v>58.038372294931435</c:v>
                </c:pt>
                <c:pt idx="996">
                  <c:v>58.038633826876065</c:v>
                </c:pt>
                <c:pt idx="997">
                  <c:v>58.038895356546391</c:v>
                </c:pt>
                <c:pt idx="998">
                  <c:v>58.039156883942518</c:v>
                </c:pt>
                <c:pt idx="999">
                  <c:v>58.039418409064439</c:v>
                </c:pt>
                <c:pt idx="1000">
                  <c:v>58.039679931912097</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Calculs!$I$4:$I$1004</c:f>
              <c:numCache>
                <c:formatCode>0.00</c:formatCode>
                <c:ptCount val="1001"/>
                <c:pt idx="0">
                  <c:v>0</c:v>
                </c:pt>
                <c:pt idx="1">
                  <c:v>0.19429107499673928</c:v>
                </c:pt>
                <c:pt idx="2">
                  <c:v>1.1984750508717033</c:v>
                </c:pt>
                <c:pt idx="3">
                  <c:v>2.6962763914900116</c:v>
                </c:pt>
                <c:pt idx="4">
                  <c:v>4.142574405818773</c:v>
                </c:pt>
                <c:pt idx="5">
                  <c:v>5.537233599930917</c:v>
                </c:pt>
                <c:pt idx="6">
                  <c:v>6.9116824983335912</c:v>
                </c:pt>
                <c:pt idx="7">
                  <c:v>8.2974414590189518</c:v>
                </c:pt>
                <c:pt idx="8">
                  <c:v>9.6945162483620546</c:v>
                </c:pt>
                <c:pt idx="9">
                  <c:v>11.102912383705956</c:v>
                </c:pt>
                <c:pt idx="10">
                  <c:v>12.522635129145348</c:v>
                </c:pt>
                <c:pt idx="11">
                  <c:v>13.950413149706627</c:v>
                </c:pt>
                <c:pt idx="12">
                  <c:v>15.382965348617914</c:v>
                </c:pt>
                <c:pt idx="13">
                  <c:v>16.820282215469177</c:v>
                </c:pt>
                <c:pt idx="14">
                  <c:v>18.262354057960209</c:v>
                </c:pt>
                <c:pt idx="15">
                  <c:v>19.709171001329668</c:v>
                </c:pt>
                <c:pt idx="16">
                  <c:v>21.160722987798692</c:v>
                </c:pt>
                <c:pt idx="17">
                  <c:v>22.616999776029253</c:v>
                </c:pt>
                <c:pt idx="18">
                  <c:v>24.077990940597456</c:v>
                </c:pt>
                <c:pt idx="19">
                  <c:v>25.543685871482065</c:v>
                </c:pt>
                <c:pt idx="20">
                  <c:v>27.01407377356837</c:v>
                </c:pt>
                <c:pt idx="21">
                  <c:v>28.487827870849241</c:v>
                </c:pt>
                <c:pt idx="22">
                  <c:v>29.963617464999817</c:v>
                </c:pt>
                <c:pt idx="23">
                  <c:v>31.441425822376146</c:v>
                </c:pt>
                <c:pt idx="24">
                  <c:v>32.921236098223389</c:v>
                </c:pt>
                <c:pt idx="25">
                  <c:v>34.403031337309855</c:v>
                </c:pt>
                <c:pt idx="26">
                  <c:v>35.886798371082115</c:v>
                </c:pt>
                <c:pt idx="27">
                  <c:v>37.372524084043114</c:v>
                </c:pt>
                <c:pt idx="28">
                  <c:v>38.860190919927184</c:v>
                </c:pt>
                <c:pt idx="29">
                  <c:v>40.349781233153443</c:v>
                </c:pt>
                <c:pt idx="30">
                  <c:v>41.841277287566449</c:v>
                </c:pt>
                <c:pt idx="31">
                  <c:v>43.334661255505026</c:v>
                </c:pt>
                <c:pt idx="32">
                  <c:v>44.829915217097124</c:v>
                </c:pt>
                <c:pt idx="33">
                  <c:v>46.327021159747524</c:v>
                </c:pt>
                <c:pt idx="34">
                  <c:v>47.825960977790992</c:v>
                </c:pt>
                <c:pt idx="35">
                  <c:v>49.326716472288531</c:v>
                </c:pt>
                <c:pt idx="36">
                  <c:v>50.829269350948195</c:v>
                </c:pt>
                <c:pt idx="37">
                  <c:v>52.333601228154933</c:v>
                </c:pt>
                <c:pt idx="38">
                  <c:v>53.839693625096594</c:v>
                </c:pt>
                <c:pt idx="39">
                  <c:v>55.347527969975147</c:v>
                </c:pt>
                <c:pt idx="40">
                  <c:v>56.857085598293878</c:v>
                </c:pt>
                <c:pt idx="41">
                  <c:v>58.367321629779312</c:v>
                </c:pt>
                <c:pt idx="42">
                  <c:v>59.877188390776766</c:v>
                </c:pt>
                <c:pt idx="43">
                  <c:v>61.386663227924103</c:v>
                </c:pt>
                <c:pt idx="44">
                  <c:v>62.895723476126534</c:v>
                </c:pt>
                <c:pt idx="45">
                  <c:v>64.404346459682245</c:v>
                </c:pt>
                <c:pt idx="46">
                  <c:v>65.912509493444318</c:v>
                </c:pt>
                <c:pt idx="47">
                  <c:v>67.42018988401496</c:v>
                </c:pt>
                <c:pt idx="48">
                  <c:v>68.927364930969048</c:v>
                </c:pt>
                <c:pt idx="49">
                  <c:v>70.434011928104027</c:v>
                </c:pt>
                <c:pt idx="50">
                  <c:v>71.940108164713379</c:v>
                </c:pt>
                <c:pt idx="51">
                  <c:v>73.445630926881719</c:v>
                </c:pt>
                <c:pt idx="52">
                  <c:v>74.950557498799256</c:v>
                </c:pt>
                <c:pt idx="53">
                  <c:v>76.454865164093988</c:v>
                </c:pt>
                <c:pt idx="54">
                  <c:v>77.958531207179803</c:v>
                </c:pt>
                <c:pt idx="55">
                  <c:v>79.46153291461917</c:v>
                </c:pt>
                <c:pt idx="56">
                  <c:v>80.963847576499049</c:v>
                </c:pt>
                <c:pt idx="57">
                  <c:v>82.465452487818808</c:v>
                </c:pt>
                <c:pt idx="58">
                  <c:v>83.966324949888943</c:v>
                </c:pt>
                <c:pt idx="59">
                  <c:v>85.466442271739837</c:v>
                </c:pt>
                <c:pt idx="60">
                  <c:v>86.965781771539284</c:v>
                </c:pt>
                <c:pt idx="61">
                  <c:v>88.464320778018276</c:v>
                </c:pt>
                <c:pt idx="62">
                  <c:v>89.962036631903942</c:v>
                </c:pt>
                <c:pt idx="63">
                  <c:v>91.458906687359075</c:v>
                </c:pt>
                <c:pt idx="64">
                  <c:v>92.954908313427651</c:v>
                </c:pt>
                <c:pt idx="65">
                  <c:v>94.4500188954853</c:v>
                </c:pt>
                <c:pt idx="66">
                  <c:v>95.94421583669461</c:v>
                </c:pt>
                <c:pt idx="67">
                  <c:v>97.4374765594644</c:v>
                </c:pt>
                <c:pt idx="68">
                  <c:v>98.929778506912356</c:v>
                </c:pt>
                <c:pt idx="69">
                  <c:v>100.42109914433092</c:v>
                </c:pt>
                <c:pt idx="70">
                  <c:v>101.91141596065542</c:v>
                </c:pt>
                <c:pt idx="71">
                  <c:v>103.40070646993429</c:v>
                </c:pt>
                <c:pt idx="72">
                  <c:v>104.88894821280097</c:v>
                </c:pt>
                <c:pt idx="73">
                  <c:v>106.3761187579469</c:v>
                </c:pt>
                <c:pt idx="74">
                  <c:v>107.86219570359521</c:v>
                </c:pt>
                <c:pt idx="75">
                  <c:v>109.3471566789749</c:v>
                </c:pt>
                <c:pt idx="76">
                  <c:v>110.8309793457949</c:v>
                </c:pt>
                <c:pt idx="77">
                  <c:v>112.31364139971775</c:v>
                </c:pt>
                <c:pt idx="78">
                  <c:v>113.79512057183264</c:v>
                </c:pt>
                <c:pt idx="79">
                  <c:v>115.27539463012721</c:v>
                </c:pt>
                <c:pt idx="80">
                  <c:v>116.75444138095807</c:v>
                </c:pt>
                <c:pt idx="81">
                  <c:v>118.2311914147616</c:v>
                </c:pt>
                <c:pt idx="82">
                  <c:v>119.70457323336753</c:v>
                </c:pt>
                <c:pt idx="83">
                  <c:v>121.17456225869607</c:v>
                </c:pt>
                <c:pt idx="84">
                  <c:v>122.64113405644535</c:v>
                </c:pt>
                <c:pt idx="85">
                  <c:v>124.10426433767678</c:v>
                </c:pt>
                <c:pt idx="86">
                  <c:v>125.5639289603817</c:v>
                </c:pt>
                <c:pt idx="87">
                  <c:v>127.02010393102927</c:v>
                </c:pt>
                <c:pt idx="88">
                  <c:v>128.47276540609516</c:v>
                </c:pt>
                <c:pt idx="89">
                  <c:v>129.92188969357079</c:v>
                </c:pt>
                <c:pt idx="90">
                  <c:v>131.36745325445295</c:v>
                </c:pt>
                <c:pt idx="91">
                  <c:v>132.80896937611982</c:v>
                </c:pt>
                <c:pt idx="92">
                  <c:v>134.24595065201896</c:v>
                </c:pt>
                <c:pt idx="93">
                  <c:v>135.67837307978454</c:v>
                </c:pt>
                <c:pt idx="94">
                  <c:v>137.10621286379305</c:v>
                </c:pt>
                <c:pt idx="95">
                  <c:v>138.52944641649717</c:v>
                </c:pt>
                <c:pt idx="96">
                  <c:v>139.9480503597301</c:v>
                </c:pt>
                <c:pt idx="97">
                  <c:v>141.36200152598073</c:v>
                </c:pt>
                <c:pt idx="98">
                  <c:v>142.77127695963901</c:v>
                </c:pt>
                <c:pt idx="99">
                  <c:v>144.1758539182116</c:v>
                </c:pt>
                <c:pt idx="100">
                  <c:v>145.57570987350778</c:v>
                </c:pt>
                <c:pt idx="101">
                  <c:v>146.97074830591896</c:v>
                </c:pt>
                <c:pt idx="102">
                  <c:v>148.36087279211927</c:v>
                </c:pt>
                <c:pt idx="103">
                  <c:v>149.74606133422594</c:v>
                </c:pt>
                <c:pt idx="104">
                  <c:v>151.12629216093504</c:v>
                </c:pt>
                <c:pt idx="105">
                  <c:v>152.50154372853598</c:v>
                </c:pt>
                <c:pt idx="106">
                  <c:v>153.87179472189391</c:v>
                </c:pt>
                <c:pt idx="107">
                  <c:v>155.23702405540033</c:v>
                </c:pt>
                <c:pt idx="108">
                  <c:v>156.5972108738915</c:v>
                </c:pt>
                <c:pt idx="109">
                  <c:v>157.95233455353494</c:v>
                </c:pt>
                <c:pt idx="110">
                  <c:v>159.30237470268361</c:v>
                </c:pt>
                <c:pt idx="111">
                  <c:v>160.64816665826527</c:v>
                </c:pt>
                <c:pt idx="112">
                  <c:v>161.99054719915028</c:v>
                </c:pt>
                <c:pt idx="113">
                  <c:v>163.32949768052586</c:v>
                </c:pt>
                <c:pt idx="114">
                  <c:v>164.66499960772458</c:v>
                </c:pt>
                <c:pt idx="115">
                  <c:v>165.99703463715943</c:v>
                </c:pt>
                <c:pt idx="116">
                  <c:v>167.32558457724042</c:v>
                </c:pt>
                <c:pt idx="117">
                  <c:v>168.65063138927167</c:v>
                </c:pt>
                <c:pt idx="118">
                  <c:v>169.97215718832979</c:v>
                </c:pt>
                <c:pt idx="119">
                  <c:v>171.2901442441225</c:v>
                </c:pt>
                <c:pt idx="120">
                  <c:v>172.60457498182848</c:v>
                </c:pt>
                <c:pt idx="121">
                  <c:v>173.9140112277872</c:v>
                </c:pt>
                <c:pt idx="122">
                  <c:v>175.21701321505554</c:v>
                </c:pt>
                <c:pt idx="123">
                  <c:v>176.51356259953127</c:v>
                </c:pt>
                <c:pt idx="124">
                  <c:v>177.80364134027187</c:v>
                </c:pt>
                <c:pt idx="125">
                  <c:v>179.08723169963343</c:v>
                </c:pt>
                <c:pt idx="126">
                  <c:v>180.36431624336743</c:v>
                </c:pt>
                <c:pt idx="127">
                  <c:v>181.63487784067573</c:v>
                </c:pt>
                <c:pt idx="128">
                  <c:v>182.89889966422402</c:v>
                </c:pt>
                <c:pt idx="129">
                  <c:v>184.15636519011389</c:v>
                </c:pt>
                <c:pt idx="130">
                  <c:v>185.40725819781375</c:v>
                </c:pt>
                <c:pt idx="131">
                  <c:v>186.65119034691267</c:v>
                </c:pt>
                <c:pt idx="132">
                  <c:v>187.88777323039747</c:v>
                </c:pt>
                <c:pt idx="133">
                  <c:v>189.11699137552276</c:v>
                </c:pt>
                <c:pt idx="134">
                  <c:v>190.33882965283829</c:v>
                </c:pt>
                <c:pt idx="135">
                  <c:v>191.55327327564871</c:v>
                </c:pt>
                <c:pt idx="136">
                  <c:v>192.76030779942764</c:v>
                </c:pt>
                <c:pt idx="137">
                  <c:v>193.95991912118669</c:v>
                </c:pt>
                <c:pt idx="138">
                  <c:v>195.15209347879875</c:v>
                </c:pt>
                <c:pt idx="139">
                  <c:v>196.33681745027778</c:v>
                </c:pt>
                <c:pt idx="140">
                  <c:v>197.5140779530139</c:v>
                </c:pt>
                <c:pt idx="141">
                  <c:v>198.67940389945474</c:v>
                </c:pt>
                <c:pt idx="142">
                  <c:v>199.82832128826604</c:v>
                </c:pt>
                <c:pt idx="143">
                  <c:v>200.96081827720738</c:v>
                </c:pt>
                <c:pt idx="144">
                  <c:v>202.07688395228203</c:v>
                </c:pt>
                <c:pt idx="145">
                  <c:v>203.17650832052269</c:v>
                </c:pt>
                <c:pt idx="146">
                  <c:v>204.25968230263445</c:v>
                </c:pt>
                <c:pt idx="147">
                  <c:v>205.32639772549885</c:v>
                </c:pt>
                <c:pt idx="148">
                  <c:v>206.37664731454223</c:v>
                </c:pt>
                <c:pt idx="149">
                  <c:v>207.41042468597252</c:v>
                </c:pt>
                <c:pt idx="150">
                  <c:v>208.42772433888851</c:v>
                </c:pt>
                <c:pt idx="151">
                  <c:v>209.42854164726441</c:v>
                </c:pt>
                <c:pt idx="152">
                  <c:v>210.41287285181426</c:v>
                </c:pt>
                <c:pt idx="153">
                  <c:v>211.38071505173994</c:v>
                </c:pt>
                <c:pt idx="154">
                  <c:v>212.33206619636576</c:v>
                </c:pt>
                <c:pt idx="155">
                  <c:v>213.26692507666453</c:v>
                </c:pt>
                <c:pt idx="156">
                  <c:v>214.16414329609583</c:v>
                </c:pt>
                <c:pt idx="157">
                  <c:v>215.00257309249619</c:v>
                </c:pt>
                <c:pt idx="158">
                  <c:v>215.78224367600762</c:v>
                </c:pt>
                <c:pt idx="159">
                  <c:v>216.5031906439834</c:v>
                </c:pt>
                <c:pt idx="160">
                  <c:v>217.16545586584951</c:v>
                </c:pt>
                <c:pt idx="161">
                  <c:v>217.74219037567386</c:v>
                </c:pt>
                <c:pt idx="162">
                  <c:v>218.20657295686951</c:v>
                </c:pt>
                <c:pt idx="163">
                  <c:v>218.56130193770321</c:v>
                </c:pt>
                <c:pt idx="164">
                  <c:v>218.80909184719556</c:v>
                </c:pt>
                <c:pt idx="165">
                  <c:v>218.97580402811548</c:v>
                </c:pt>
                <c:pt idx="166">
                  <c:v>219.08727434626857</c:v>
                </c:pt>
                <c:pt idx="167">
                  <c:v>219.12405880697469</c:v>
                </c:pt>
                <c:pt idx="168">
                  <c:v>219.08089036465606</c:v>
                </c:pt>
                <c:pt idx="169">
                  <c:v>218.91757234786081</c:v>
                </c:pt>
                <c:pt idx="170">
                  <c:v>218.62228504354883</c:v>
                </c:pt>
                <c:pt idx="171">
                  <c:v>218.28272311102194</c:v>
                </c:pt>
                <c:pt idx="172">
                  <c:v>217.94397034608014</c:v>
                </c:pt>
                <c:pt idx="173">
                  <c:v>217.60602336787971</c:v>
                </c:pt>
                <c:pt idx="174">
                  <c:v>217.26887881445785</c:v>
                </c:pt>
                <c:pt idx="175">
                  <c:v>216.9325333426001</c:v>
                </c:pt>
                <c:pt idx="176">
                  <c:v>216.59698362770902</c:v>
                </c:pt>
                <c:pt idx="177">
                  <c:v>216.26222636367373</c:v>
                </c:pt>
                <c:pt idx="178">
                  <c:v>215.92825826274091</c:v>
                </c:pt>
                <c:pt idx="179">
                  <c:v>215.59507605538644</c:v>
                </c:pt>
                <c:pt idx="180">
                  <c:v>215.26267649018857</c:v>
                </c:pt>
                <c:pt idx="181">
                  <c:v>214.93105633370183</c:v>
                </c:pt>
                <c:pt idx="182">
                  <c:v>214.60021237033206</c:v>
                </c:pt>
                <c:pt idx="183">
                  <c:v>214.27014140221274</c:v>
                </c:pt>
                <c:pt idx="184">
                  <c:v>213.94084024908187</c:v>
                </c:pt>
                <c:pt idx="185">
                  <c:v>213.61230574816042</c:v>
                </c:pt>
                <c:pt idx="186">
                  <c:v>213.28453475403131</c:v>
                </c:pt>
                <c:pt idx="187">
                  <c:v>212.95752413851972</c:v>
                </c:pt>
                <c:pt idx="188">
                  <c:v>212.63127079057435</c:v>
                </c:pt>
                <c:pt idx="189">
                  <c:v>212.30577161614954</c:v>
                </c:pt>
                <c:pt idx="190">
                  <c:v>211.98102353808835</c:v>
                </c:pt>
                <c:pt idx="191">
                  <c:v>211.65702349600681</c:v>
                </c:pt>
                <c:pt idx="192">
                  <c:v>211.33376844617905</c:v>
                </c:pt>
                <c:pt idx="193">
                  <c:v>211.01125536142317</c:v>
                </c:pt>
                <c:pt idx="194">
                  <c:v>210.68948123098835</c:v>
                </c:pt>
                <c:pt idx="195">
                  <c:v>210.36844306044267</c:v>
                </c:pt>
                <c:pt idx="196">
                  <c:v>210.04813787156209</c:v>
                </c:pt>
                <c:pt idx="197">
                  <c:v>209.72856270221996</c:v>
                </c:pt>
                <c:pt idx="198">
                  <c:v>209.40971460627782</c:v>
                </c:pt>
                <c:pt idx="199">
                  <c:v>209.091590653477</c:v>
                </c:pt>
                <c:pt idx="200">
                  <c:v>208.77418792933076</c:v>
                </c:pt>
                <c:pt idx="201">
                  <c:v>205.607428457705</c:v>
                </c:pt>
                <c:pt idx="202">
                  <c:v>202.51160395151319</c:v>
                </c:pt>
                <c:pt idx="203">
                  <c:v>199.48391853057535</c:v>
                </c:pt>
                <c:pt idx="204">
                  <c:v>196.52172206535877</c:v>
                </c:pt>
                <c:pt idx="205">
                  <c:v>193.62250072483778</c:v>
                </c:pt>
                <c:pt idx="206">
                  <c:v>190.78386825566372</c:v>
                </c:pt>
                <c:pt idx="207">
                  <c:v>188.0035579272666</c:v>
                </c:pt>
                <c:pt idx="208">
                  <c:v>185.27941508413059</c:v>
                </c:pt>
                <c:pt idx="209">
                  <c:v>182.60939025236107</c:v>
                </c:pt>
                <c:pt idx="210">
                  <c:v>179.99153275288003</c:v>
                </c:pt>
                <c:pt idx="211">
                  <c:v>177.42398477823394</c:v>
                </c:pt>
                <c:pt idx="212">
                  <c:v>174.90497589413994</c:v>
                </c:pt>
                <c:pt idx="213">
                  <c:v>172.43281793059398</c:v>
                </c:pt>
                <c:pt idx="214">
                  <c:v>170.0059002306717</c:v>
                </c:pt>
                <c:pt idx="215">
                  <c:v>167.62268522811053</c:v>
                </c:pt>
                <c:pt idx="216">
                  <c:v>165.28170432741877</c:v>
                </c:pt>
                <c:pt idx="217">
                  <c:v>162.98155406263706</c:v>
                </c:pt>
                <c:pt idx="218">
                  <c:v>160.7208925130214</c:v>
                </c:pt>
                <c:pt idx="219">
                  <c:v>158.49843595584451</c:v>
                </c:pt>
                <c:pt idx="220">
                  <c:v>156.3129557382494</c:v>
                </c:pt>
                <c:pt idx="221">
                  <c:v>154.16327535165806</c:v>
                </c:pt>
                <c:pt idx="222">
                  <c:v>152.04826769365425</c:v>
                </c:pt>
                <c:pt idx="223">
                  <c:v>149.96685250354122</c:v>
                </c:pt>
                <c:pt idx="224">
                  <c:v>147.91799395893526</c:v>
                </c:pt>
                <c:pt idx="225">
                  <c:v>145.90069842180884</c:v>
                </c:pt>
                <c:pt idx="226">
                  <c:v>143.91401232335218</c:v>
                </c:pt>
                <c:pt idx="227">
                  <c:v>141.95702017788872</c:v>
                </c:pt>
                <c:pt idx="228">
                  <c:v>140.02884271687134</c:v>
                </c:pt>
                <c:pt idx="229">
                  <c:v>138.12863513470396</c:v>
                </c:pt>
                <c:pt idx="230">
                  <c:v>136.25558543878839</c:v>
                </c:pt>
                <c:pt idx="231">
                  <c:v>134.40891289679558</c:v>
                </c:pt>
                <c:pt idx="232">
                  <c:v>132.58786657470608</c:v>
                </c:pt>
                <c:pt idx="233">
                  <c:v>130.79172395966438</c:v>
                </c:pt>
                <c:pt idx="234">
                  <c:v>129.01978966214989</c:v>
                </c:pt>
                <c:pt idx="235">
                  <c:v>127.27139419238659</c:v>
                </c:pt>
                <c:pt idx="236">
                  <c:v>125.54589280629791</c:v>
                </c:pt>
                <c:pt idx="237">
                  <c:v>123.84266441666711</c:v>
                </c:pt>
                <c:pt idx="238">
                  <c:v>122.16111056548904</c:v>
                </c:pt>
                <c:pt idx="239">
                  <c:v>120.50065445379749</c:v>
                </c:pt>
                <c:pt idx="240">
                  <c:v>118.86074002552911</c:v>
                </c:pt>
                <c:pt idx="241">
                  <c:v>117.24083110223883</c:v>
                </c:pt>
                <c:pt idx="242">
                  <c:v>115.6404105657179</c:v>
                </c:pt>
                <c:pt idx="243">
                  <c:v>114.05897958578231</c:v>
                </c:pt>
                <c:pt idx="244">
                  <c:v>112.49605689070218</c:v>
                </c:pt>
                <c:pt idx="245">
                  <c:v>110.95117807792951</c:v>
                </c:pt>
                <c:pt idx="246">
                  <c:v>109.42389496295607</c:v>
                </c:pt>
                <c:pt idx="247">
                  <c:v>107.91377496429537</c:v>
                </c:pt>
                <c:pt idx="248">
                  <c:v>106.4204005227341</c:v>
                </c:pt>
                <c:pt idx="249">
                  <c:v>104.94336855314012</c:v>
                </c:pt>
                <c:pt idx="250">
                  <c:v>103.48228992724681</c:v>
                </c:pt>
                <c:pt idx="251">
                  <c:v>102.03678898595838</c:v>
                </c:pt>
                <c:pt idx="252">
                  <c:v>100.60650307983833</c:v>
                </c:pt>
                <c:pt idx="253">
                  <c:v>99.191082136554684</c:v>
                </c:pt>
                <c:pt idx="254">
                  <c:v>97.790188254160455</c:v>
                </c:pt>
                <c:pt idx="255">
                  <c:v>96.403495319189332</c:v>
                </c:pt>
                <c:pt idx="256">
                  <c:v>95.030688648641359</c:v>
                </c:pt>
                <c:pt idx="257">
                  <c:v>93.671464655026426</c:v>
                </c:pt>
                <c:pt idx="258">
                  <c:v>92.325530533721874</c:v>
                </c:pt>
                <c:pt idx="259">
                  <c:v>90.992603971986966</c:v>
                </c:pt>
                <c:pt idx="260">
                  <c:v>89.672412879060502</c:v>
                </c:pt>
                <c:pt idx="261">
                  <c:v>88.364695136851097</c:v>
                </c:pt>
                <c:pt idx="262">
                  <c:v>87.069198370809644</c:v>
                </c:pt>
                <c:pt idx="263">
                  <c:v>85.785679740655425</c:v>
                </c:pt>
                <c:pt idx="264">
                  <c:v>84.513905750706414</c:v>
                </c:pt>
                <c:pt idx="265">
                  <c:v>83.253652079646358</c:v>
                </c:pt>
                <c:pt idx="266">
                  <c:v>82.004703429642078</c:v>
                </c:pt>
                <c:pt idx="267">
                  <c:v>80.766853394808393</c:v>
                </c:pt>
                <c:pt idx="268">
                  <c:v>79.539904349102642</c:v>
                </c:pt>
                <c:pt idx="269">
                  <c:v>78.323667353819332</c:v>
                </c:pt>
                <c:pt idx="270">
                  <c:v>77.117962084945574</c:v>
                </c:pt>
                <c:pt idx="271">
                  <c:v>75.922616780733861</c:v>
                </c:pt>
                <c:pt idx="272">
                  <c:v>74.737468209947139</c:v>
                </c:pt>
                <c:pt idx="273">
                  <c:v>73.56236166133607</c:v>
                </c:pt>
                <c:pt idx="274">
                  <c:v>72.39715095501856</c:v>
                </c:pt>
                <c:pt idx="275">
                  <c:v>71.241698476548777</c:v>
                </c:pt>
                <c:pt idx="276">
                  <c:v>70.095875234586899</c:v>
                </c:pt>
                <c:pt idx="277">
                  <c:v>68.959560943214129</c:v>
                </c:pt>
                <c:pt idx="278">
                  <c:v>67.832644130078677</c:v>
                </c:pt>
                <c:pt idx="279">
                  <c:v>66.715022271710666</c:v>
                </c:pt>
                <c:pt idx="280">
                  <c:v>65.606601957506399</c:v>
                </c:pt>
                <c:pt idx="281">
                  <c:v>64.507299084057308</c:v>
                </c:pt>
                <c:pt idx="282">
                  <c:v>63.417039081685694</c:v>
                </c:pt>
                <c:pt idx="283">
                  <c:v>62.335757175251032</c:v>
                </c:pt>
                <c:pt idx="284">
                  <c:v>61.26339868150518</c:v>
                </c:pt>
                <c:pt idx="285">
                  <c:v>60.199919345505748</c:v>
                </c:pt>
                <c:pt idx="286">
                  <c:v>59.145285718842594</c:v>
                </c:pt>
                <c:pt idx="287">
                  <c:v>58.099475582694275</c:v>
                </c:pt>
                <c:pt idx="288">
                  <c:v>57.062478419008606</c:v>
                </c:pt>
                <c:pt idx="289">
                  <c:v>56.034295933394269</c:v>
                </c:pt>
                <c:pt idx="290">
                  <c:v>55.014942633616563</c:v>
                </c:pt>
                <c:pt idx="291">
                  <c:v>54.004446467908757</c:v>
                </c:pt>
                <c:pt idx="292">
                  <c:v>53.002849527637125</c:v>
                </c:pt>
                <c:pt idx="293">
                  <c:v>52.010208819188023</c:v>
                </c:pt>
                <c:pt idx="294">
                  <c:v>51.026597110273713</c:v>
                </c:pt>
                <c:pt idx="295">
                  <c:v>50.052103856168955</c:v>
                </c:pt>
                <c:pt idx="296">
                  <c:v>49.086836211683718</c:v>
                </c:pt>
                <c:pt idx="297">
                  <c:v>48.130920134929823</c:v>
                </c:pt>
                <c:pt idx="298">
                  <c:v>47.184501589133262</c:v>
                </c:pt>
                <c:pt idx="299">
                  <c:v>46.247747848850295</c:v>
                </c:pt>
                <c:pt idx="300">
                  <c:v>45.320848916933144</c:v>
                </c:pt>
                <c:pt idx="301">
                  <c:v>44.404019058415486</c:v>
                </c:pt>
                <c:pt idx="302">
                  <c:v>43.497498457096654</c:v>
                </c:pt>
                <c:pt idx="303">
                  <c:v>42.601554999930407</c:v>
                </c:pt>
                <c:pt idx="304">
                  <c:v>41.716486193286215</c:v>
                </c:pt>
                <c:pt idx="305">
                  <c:v>40.84262121365002</c:v>
                </c:pt>
                <c:pt idx="306">
                  <c:v>39.980323093244721</c:v>
                </c:pt>
                <c:pt idx="307">
                  <c:v>39.129991038234799</c:v>
                </c:pt>
                <c:pt idx="308">
                  <c:v>38.292062873463436</c:v>
                </c:pt>
                <c:pt idx="309">
                  <c:v>37.467017602855449</c:v>
                </c:pt>
                <c:pt idx="310">
                  <c:v>36.65537806848009</c:v>
                </c:pt>
                <c:pt idx="311">
                  <c:v>35.857713683552163</c:v>
                </c:pt>
                <c:pt idx="312">
                  <c:v>35.074643205088208</c:v>
                </c:pt>
                <c:pt idx="313">
                  <c:v>34.306837500248712</c:v>
                </c:pt>
                <c:pt idx="314">
                  <c:v>33.555022246322572</c:v>
                </c:pt>
                <c:pt idx="315">
                  <c:v>32.819980487624314</c:v>
                </c:pt>
                <c:pt idx="316">
                  <c:v>32.102554953141677</c:v>
                </c:pt>
                <c:pt idx="317">
                  <c:v>31.403650016604054</c:v>
                </c:pt>
                <c:pt idx="318">
                  <c:v>30.724233155980546</c:v>
                </c:pt>
                <c:pt idx="319">
                  <c:v>30.06533574283046</c:v>
                </c:pt>
                <c:pt idx="320">
                  <c:v>29.428052964438759</c:v>
                </c:pt>
                <c:pt idx="321">
                  <c:v>28.813542654878969</c:v>
                </c:pt>
                <c:pt idx="322">
                  <c:v>28.223022787375616</c:v>
                </c:pt>
                <c:pt idx="323">
                  <c:v>27.657767362730802</c:v>
                </c:pt>
                <c:pt idx="324">
                  <c:v>27.119100421142175</c:v>
                </c:pt>
                <c:pt idx="325">
                  <c:v>26.608387912275958</c:v>
                </c:pt>
                <c:pt idx="326">
                  <c:v>26.127027186322639</c:v>
                </c:pt>
                <c:pt idx="327">
                  <c:v>25.676433922376937</c:v>
                </c:pt>
                <c:pt idx="328">
                  <c:v>25.258026394573083</c:v>
                </c:pt>
                <c:pt idx="329">
                  <c:v>24.873207093945581</c:v>
                </c:pt>
                <c:pt idx="330">
                  <c:v>24.523341874917492</c:v>
                </c:pt>
                <c:pt idx="331">
                  <c:v>24.20973697522966</c:v>
                </c:pt>
                <c:pt idx="332">
                  <c:v>23.933614457149336</c:v>
                </c:pt>
                <c:pt idx="333">
                  <c:v>23.696086820148832</c:v>
                </c:pt>
                <c:pt idx="334">
                  <c:v>23.498131719775316</c:v>
                </c:pt>
                <c:pt idx="335">
                  <c:v>23.3405678695311</c:v>
                </c:pt>
                <c:pt idx="336">
                  <c:v>23.224033277469442</c:v>
                </c:pt>
                <c:pt idx="337">
                  <c:v>23.148966956269266</c:v>
                </c:pt>
                <c:pt idx="338">
                  <c:v>23.115595132929606</c:v>
                </c:pt>
                <c:pt idx="339">
                  <c:v>23.123922772575909</c:v>
                </c:pt>
                <c:pt idx="340">
                  <c:v>23.173730935107749</c:v>
                </c:pt>
                <c:pt idx="341">
                  <c:v>23.264580131670158</c:v>
                </c:pt>
                <c:pt idx="342">
                  <c:v>23.395819477605855</c:v>
                </c:pt>
                <c:pt idx="343">
                  <c:v>23.566601090226108</c:v>
                </c:pt>
                <c:pt idx="344">
                  <c:v>23.775898890312227</c:v>
                </c:pt>
                <c:pt idx="345">
                  <c:v>24.022530762931932</c:v>
                </c:pt>
                <c:pt idx="346">
                  <c:v>24.305182929702813</c:v>
                </c:pt>
                <c:pt idx="347">
                  <c:v>24.622435380585301</c:v>
                </c:pt>
                <c:pt idx="348">
                  <c:v>24.97278729585776</c:v>
                </c:pt>
                <c:pt idx="349">
                  <c:v>25.354681536886488</c:v>
                </c:pt>
                <c:pt idx="350">
                  <c:v>25.766527472611763</c:v>
                </c:pt>
                <c:pt idx="351">
                  <c:v>26.206721612769567</c:v>
                </c:pt>
                <c:pt idx="352">
                  <c:v>26.673665717892035</c:v>
                </c:pt>
                <c:pt idx="353">
                  <c:v>27.165782234705425</c:v>
                </c:pt>
                <c:pt idx="354">
                  <c:v>27.681527054259565</c:v>
                </c:pt>
                <c:pt idx="355">
                  <c:v>28.21939970498153</c:v>
                </c:pt>
                <c:pt idx="356">
                  <c:v>28.777951174137268</c:v>
                </c:pt>
                <c:pt idx="357">
                  <c:v>29.355789602132525</c:v>
                </c:pt>
                <c:pt idx="358">
                  <c:v>29.951584119574939</c:v>
                </c:pt>
                <c:pt idx="359">
                  <c:v>30.564067102557818</c:v>
                </c:pt>
                <c:pt idx="360">
                  <c:v>31.192035112590027</c:v>
                </c:pt>
                <c:pt idx="361">
                  <c:v>31.834348768771534</c:v>
                </c:pt>
                <c:pt idx="362">
                  <c:v>32.489931775166738</c:v>
                </c:pt>
                <c:pt idx="363">
                  <c:v>33.157769298946661</c:v>
                </c:pt>
                <c:pt idx="364">
                  <c:v>33.836905867020818</c:v>
                </c:pt>
                <c:pt idx="365">
                  <c:v>34.526442922111237</c:v>
                </c:pt>
                <c:pt idx="366">
                  <c:v>35.225536154508312</c:v>
                </c:pt>
                <c:pt idx="367">
                  <c:v>35.93339270362253</c:v>
                </c:pt>
                <c:pt idx="368">
                  <c:v>36.649268304115864</c:v>
                </c:pt>
                <c:pt idx="369">
                  <c:v>37.372464434850649</c:v>
                </c:pt>
                <c:pt idx="370">
                  <c:v>38.102325514978126</c:v>
                </c:pt>
                <c:pt idx="371">
                  <c:v>38.838236179968547</c:v>
                </c:pt>
                <c:pt idx="372">
                  <c:v>39.579618660985659</c:v>
                </c:pt>
                <c:pt idx="373">
                  <c:v>40.325930283447818</c:v>
                </c:pt>
                <c:pt idx="374">
                  <c:v>41.076661094621102</c:v>
                </c:pt>
                <c:pt idx="375">
                  <c:v>41.831331625404651</c:v>
                </c:pt>
                <c:pt idx="376">
                  <c:v>42.589490787867369</c:v>
                </c:pt>
                <c:pt idx="377">
                  <c:v>43.35071390738068</c:v>
                </c:pt>
                <c:pt idx="378">
                  <c:v>44.114600886193621</c:v>
                </c:pt>
                <c:pt idx="379">
                  <c:v>44.880774493870973</c:v>
                </c:pt>
                <c:pt idx="380">
                  <c:v>45.648878779042178</c:v>
                </c:pt>
                <c:pt idx="381">
                  <c:v>46.418577596290135</c:v>
                </c:pt>
                <c:pt idx="382">
                  <c:v>47.189553241663269</c:v>
                </c:pt>
                <c:pt idx="383">
                  <c:v>47.961505190156828</c:v>
                </c:pt>
                <c:pt idx="384">
                  <c:v>48.73414892852761</c:v>
                </c:pt>
                <c:pt idx="385">
                  <c:v>49.507214876938271</c:v>
                </c:pt>
                <c:pt idx="386">
                  <c:v>50.280447393140705</c:v>
                </c:pt>
                <c:pt idx="387">
                  <c:v>51.053603853176639</c:v>
                </c:pt>
                <c:pt idx="388">
                  <c:v>51.826453802877509</c:v>
                </c:pt>
                <c:pt idx="389">
                  <c:v>52.598778174770338</c:v>
                </c:pt>
                <c:pt idx="390">
                  <c:v>53.370368565329358</c:v>
                </c:pt>
                <c:pt idx="391">
                  <c:v>54.141026567846474</c:v>
                </c:pt>
                <c:pt idx="392">
                  <c:v>54.910563156521086</c:v>
                </c:pt>
                <c:pt idx="393">
                  <c:v>55.678798117686526</c:v>
                </c:pt>
                <c:pt idx="394">
                  <c:v>56.445559524393985</c:v>
                </c:pt>
                <c:pt idx="395">
                  <c:v>57.210683250862409</c:v>
                </c:pt>
                <c:pt idx="396">
                  <c:v>57.974012523574721</c:v>
                </c:pt>
                <c:pt idx="397">
                  <c:v>58.735397506054966</c:v>
                </c:pt>
                <c:pt idx="398">
                  <c:v>59.494694914598256</c:v>
                </c:pt>
                <c:pt idx="399">
                  <c:v>60.251767662446618</c:v>
                </c:pt>
                <c:pt idx="400">
                  <c:v>61.006484530107684</c:v>
                </c:pt>
                <c:pt idx="401">
                  <c:v>61.758719859702708</c:v>
                </c:pt>
                <c:pt idx="402">
                  <c:v>62.508353271404495</c:v>
                </c:pt>
                <c:pt idx="403">
                  <c:v>63.255269400186357</c:v>
                </c:pt>
                <c:pt idx="404">
                  <c:v>63.999357651250733</c:v>
                </c:pt>
                <c:pt idx="405">
                  <c:v>64.740511972641713</c:v>
                </c:pt>
                <c:pt idx="406">
                  <c:v>65.478630643669803</c:v>
                </c:pt>
                <c:pt idx="407">
                  <c:v>66.213616077891217</c:v>
                </c:pt>
                <c:pt idx="408">
                  <c:v>66.945374639488691</c:v>
                </c:pt>
                <c:pt idx="409">
                  <c:v>67.673816471995551</c:v>
                </c:pt>
                <c:pt idx="410">
                  <c:v>68.398855338393275</c:v>
                </c:pt>
                <c:pt idx="411">
                  <c:v>69.120408471691803</c:v>
                </c:pt>
                <c:pt idx="412">
                  <c:v>69.838396435176094</c:v>
                </c:pt>
                <c:pt idx="413">
                  <c:v>70.552742991568209</c:v>
                </c:pt>
                <c:pt idx="414">
                  <c:v>71.263374980416899</c:v>
                </c:pt>
                <c:pt idx="415">
                  <c:v>71.970222203081661</c:v>
                </c:pt>
                <c:pt idx="416">
                  <c:v>72.673217314730039</c:v>
                </c:pt>
                <c:pt idx="417">
                  <c:v>73.372295722814016</c:v>
                </c:pt>
                <c:pt idx="418">
                  <c:v>74.067395491534015</c:v>
                </c:pt>
                <c:pt idx="419">
                  <c:v>74.758457251838976</c:v>
                </c:pt>
                <c:pt idx="420">
                  <c:v>75.445424116546477</c:v>
                </c:pt>
                <c:pt idx="421">
                  <c:v>76.128241600200269</c:v>
                </c:pt>
                <c:pt idx="422">
                  <c:v>76.806857543313043</c:v>
                </c:pt>
                <c:pt idx="423">
                  <c:v>77.481222040669792</c:v>
                </c:pt>
                <c:pt idx="424">
                  <c:v>78.151287373392606</c:v>
                </c:pt>
                <c:pt idx="425">
                  <c:v>78.817007944491621</c:v>
                </c:pt>
                <c:pt idx="426">
                  <c:v>79.478340217647727</c:v>
                </c:pt>
                <c:pt idx="427">
                  <c:v>80.135242658992865</c:v>
                </c:pt>
                <c:pt idx="428">
                  <c:v>80.787675681671587</c:v>
                </c:pt>
                <c:pt idx="429">
                  <c:v>81.435601592984483</c:v>
                </c:pt>
                <c:pt idx="430">
                  <c:v>82.078984543929238</c:v>
                </c:pt>
                <c:pt idx="431">
                  <c:v>82.717790480969313</c:v>
                </c:pt>
                <c:pt idx="432">
                  <c:v>83.351987099873199</c:v>
                </c:pt>
                <c:pt idx="433">
                  <c:v>83.981543801479148</c:v>
                </c:pt>
                <c:pt idx="434">
                  <c:v>84.606431649251391</c:v>
                </c:pt>
                <c:pt idx="435">
                  <c:v>85.22662332850399</c:v>
                </c:pt>
                <c:pt idx="436">
                  <c:v>85.84209310717776</c:v>
                </c:pt>
                <c:pt idx="437">
                  <c:v>86.452816798064603</c:v>
                </c:pt>
                <c:pt idx="438">
                  <c:v>87.058771722381096</c:v>
                </c:pt>
                <c:pt idx="439">
                  <c:v>87.659936674601298</c:v>
                </c:pt>
                <c:pt idx="440">
                  <c:v>88.256291888464659</c:v>
                </c:pt>
                <c:pt idx="441">
                  <c:v>88.847819004082055</c:v>
                </c:pt>
                <c:pt idx="442">
                  <c:v>89.434501036068028</c:v>
                </c:pt>
                <c:pt idx="443">
                  <c:v>90.01632234263343</c:v>
                </c:pt>
                <c:pt idx="444">
                  <c:v>90.593268595576944</c:v>
                </c:pt>
                <c:pt idx="445">
                  <c:v>91.165326751119167</c:v>
                </c:pt>
                <c:pt idx="446">
                  <c:v>91.732485021526557</c:v>
                </c:pt>
                <c:pt idx="447">
                  <c:v>92.29473284747732</c:v>
                </c:pt>
                <c:pt idx="448">
                  <c:v>92.85206087112411</c:v>
                </c:pt>
                <c:pt idx="449">
                  <c:v>93.4044609098123</c:v>
                </c:pt>
                <c:pt idx="450">
                  <c:v>93.951925930415698</c:v>
                </c:pt>
                <c:pt idx="451">
                  <c:v>94.49445002425422</c:v>
                </c:pt>
                <c:pt idx="452">
                  <c:v>95.032028382560995</c:v>
                </c:pt>
                <c:pt idx="453">
                  <c:v>95.564657272468722</c:v>
                </c:pt>
                <c:pt idx="454">
                  <c:v>96.092334013487545</c:v>
                </c:pt>
                <c:pt idx="455">
                  <c:v>96.615056954448562</c:v>
                </c:pt>
                <c:pt idx="456">
                  <c:v>97.132825450889413</c:v>
                </c:pt>
                <c:pt idx="457">
                  <c:v>97.645639842860092</c:v>
                </c:pt>
                <c:pt idx="458">
                  <c:v>98.153501433128852</c:v>
                </c:pt>
                <c:pt idx="459">
                  <c:v>98.656412465769378</c:v>
                </c:pt>
                <c:pt idx="460">
                  <c:v>99.154376105112618</c:v>
                </c:pt>
                <c:pt idx="461">
                  <c:v>99.647396415046941</c:v>
                </c:pt>
                <c:pt idx="462">
                  <c:v>100.1354783386527</c:v>
                </c:pt>
                <c:pt idx="463">
                  <c:v>100.61862767815744</c:v>
                </c:pt>
                <c:pt idx="464">
                  <c:v>101.09685107519977</c:v>
                </c:pt>
                <c:pt idx="465">
                  <c:v>101.57015599139055</c:v>
                </c:pt>
                <c:pt idx="466">
                  <c:v>102.03855068916121</c:v>
                </c:pt>
                <c:pt idx="467">
                  <c:v>102.50204421288956</c:v>
                </c:pt>
                <c:pt idx="468">
                  <c:v>102.96064637029448</c:v>
                </c:pt>
                <c:pt idx="469">
                  <c:v>103.41436771409182</c:v>
                </c:pt>
                <c:pt idx="470">
                  <c:v>103.86321952390384</c:v>
                </c:pt>
                <c:pt idx="471">
                  <c:v>104.30721378841584</c:v>
                </c:pt>
                <c:pt idx="472">
                  <c:v>104.74636318777385</c:v>
                </c:pt>
                <c:pt idx="473">
                  <c:v>105.18068107621792</c:v>
                </c:pt>
                <c:pt idx="474">
                  <c:v>105.61018146494581</c:v>
                </c:pt>
                <c:pt idx="475">
                  <c:v>106.03487900520267</c:v>
                </c:pt>
                <c:pt idx="476">
                  <c:v>106.45478897159246</c:v>
                </c:pt>
                <c:pt idx="477">
                  <c:v>106.86992724560737</c:v>
                </c:pt>
                <c:pt idx="478">
                  <c:v>107.28031029937166</c:v>
                </c:pt>
                <c:pt idx="479">
                  <c:v>107.68595517959696</c:v>
                </c:pt>
                <c:pt idx="480">
                  <c:v>108.08687949174612</c:v>
                </c:pt>
                <c:pt idx="481">
                  <c:v>108.48310138440296</c:v>
                </c:pt>
                <c:pt idx="482">
                  <c:v>108.87463953384579</c:v>
                </c:pt>
                <c:pt idx="483">
                  <c:v>109.2615131288224</c:v>
                </c:pt>
                <c:pt idx="484">
                  <c:v>109.64374185552457</c:v>
                </c:pt>
                <c:pt idx="485">
                  <c:v>110.02134588276054</c:v>
                </c:pt>
                <c:pt idx="486">
                  <c:v>110.39434584732396</c:v>
                </c:pt>
                <c:pt idx="487">
                  <c:v>110.76276283955738</c:v>
                </c:pt>
                <c:pt idx="488">
                  <c:v>111.12661838910945</c:v>
                </c:pt>
                <c:pt idx="489">
                  <c:v>111.48593445088464</c:v>
                </c:pt>
                <c:pt idx="490">
                  <c:v>111.840733391184</c:v>
                </c:pt>
                <c:pt idx="491">
                  <c:v>112.1910379740365</c:v>
                </c:pt>
                <c:pt idx="492">
                  <c:v>112.53687134771941</c:v>
                </c:pt>
                <c:pt idx="493">
                  <c:v>112.87825703146751</c:v>
                </c:pt>
                <c:pt idx="494">
                  <c:v>113.21521890236983</c:v>
                </c:pt>
                <c:pt idx="495">
                  <c:v>113.54778118245343</c:v>
                </c:pt>
                <c:pt idx="496">
                  <c:v>113.87596842595347</c:v>
                </c:pt>
                <c:pt idx="497">
                  <c:v>114.19980550676884</c:v>
                </c:pt>
                <c:pt idx="498">
                  <c:v>114.51931760610269</c:v>
                </c:pt>
                <c:pt idx="499">
                  <c:v>114.83453020028732</c:v>
                </c:pt>
                <c:pt idx="500">
                  <c:v>115.14546904879276</c:v>
                </c:pt>
                <c:pt idx="501">
                  <c:v>115.45216018241838</c:v>
                </c:pt>
                <c:pt idx="502">
                  <c:v>115.75462989166697</c:v>
                </c:pt>
                <c:pt idx="503">
                  <c:v>116.05290471530061</c:v>
                </c:pt>
                <c:pt idx="504">
                  <c:v>116.34701142907799</c:v>
                </c:pt>
                <c:pt idx="505">
                  <c:v>116.63697703467194</c:v>
                </c:pt>
                <c:pt idx="506">
                  <c:v>116.92282874876726</c:v>
                </c:pt>
                <c:pt idx="507">
                  <c:v>117.20459399233765</c:v>
                </c:pt>
                <c:pt idx="508">
                  <c:v>117.48230038010131</c:v>
                </c:pt>
                <c:pt idx="509">
                  <c:v>117.75597571015447</c:v>
                </c:pt>
                <c:pt idx="510">
                  <c:v>118.02564795378198</c:v>
                </c:pt>
                <c:pt idx="511">
                  <c:v>118.2913452454445</c:v>
                </c:pt>
                <c:pt idx="512">
                  <c:v>118.55309587294123</c:v>
                </c:pt>
                <c:pt idx="513">
                  <c:v>118.81092826774749</c:v>
                </c:pt>
                <c:pt idx="514">
                  <c:v>119.06487099552636</c:v>
                </c:pt>
                <c:pt idx="515">
                  <c:v>119.31495274681343</c:v>
                </c:pt>
                <c:pt idx="516">
                  <c:v>119.56120232787381</c:v>
                </c:pt>
                <c:pt idx="517">
                  <c:v>119.8036486517304</c:v>
                </c:pt>
                <c:pt idx="518">
                  <c:v>120.0423207293626</c:v>
                </c:pt>
                <c:pt idx="519">
                  <c:v>120.27724766107427</c:v>
                </c:pt>
                <c:pt idx="520">
                  <c:v>120.50845862803013</c:v>
                </c:pt>
                <c:pt idx="521">
                  <c:v>120.73598288395932</c:v>
                </c:pt>
                <c:pt idx="522">
                  <c:v>120.95984974702519</c:v>
                </c:pt>
                <c:pt idx="523">
                  <c:v>121.18008859186007</c:v>
                </c:pt>
                <c:pt idx="524">
                  <c:v>121.39672884176406</c:v>
                </c:pt>
                <c:pt idx="525">
                  <c:v>121.60979996106629</c:v>
                </c:pt>
                <c:pt idx="526">
                  <c:v>121.81933144764785</c:v>
                </c:pt>
                <c:pt idx="527">
                  <c:v>122.02535282562485</c:v>
                </c:pt>
                <c:pt idx="528">
                  <c:v>122.02555533268588</c:v>
                </c:pt>
                <c:pt idx="529">
                  <c:v>122.02575783630395</c:v>
                </c:pt>
                <c:pt idx="530">
                  <c:v>122.02596033647909</c:v>
                </c:pt>
                <c:pt idx="531">
                  <c:v>122.02616283321132</c:v>
                </c:pt>
                <c:pt idx="532">
                  <c:v>122.02636532650067</c:v>
                </c:pt>
                <c:pt idx="533">
                  <c:v>122.02656781634718</c:v>
                </c:pt>
                <c:pt idx="534">
                  <c:v>122.02677030275086</c:v>
                </c:pt>
                <c:pt idx="535">
                  <c:v>122.02697278571175</c:v>
                </c:pt>
                <c:pt idx="536">
                  <c:v>122.02717526522987</c:v>
                </c:pt>
                <c:pt idx="537">
                  <c:v>122.02737774130529</c:v>
                </c:pt>
                <c:pt idx="538">
                  <c:v>122.02758021393797</c:v>
                </c:pt>
                <c:pt idx="539">
                  <c:v>122.027782683128</c:v>
                </c:pt>
                <c:pt idx="540">
                  <c:v>122.02798514887537</c:v>
                </c:pt>
                <c:pt idx="541">
                  <c:v>122.02818761118013</c:v>
                </c:pt>
                <c:pt idx="542">
                  <c:v>122.02839007004231</c:v>
                </c:pt>
                <c:pt idx="543">
                  <c:v>122.02859252546193</c:v>
                </c:pt>
                <c:pt idx="544">
                  <c:v>122.02879497743902</c:v>
                </c:pt>
                <c:pt idx="545">
                  <c:v>122.02899742597361</c:v>
                </c:pt>
                <c:pt idx="546">
                  <c:v>122.02919987106574</c:v>
                </c:pt>
                <c:pt idx="547">
                  <c:v>122.02940231271542</c:v>
                </c:pt>
                <c:pt idx="548">
                  <c:v>122.0296047509227</c:v>
                </c:pt>
                <c:pt idx="549">
                  <c:v>122.02980718568759</c:v>
                </c:pt>
                <c:pt idx="550">
                  <c:v>122.03000961701012</c:v>
                </c:pt>
                <c:pt idx="551">
                  <c:v>122.03021204489033</c:v>
                </c:pt>
                <c:pt idx="552">
                  <c:v>122.03041446932825</c:v>
                </c:pt>
                <c:pt idx="553">
                  <c:v>122.03061689032393</c:v>
                </c:pt>
                <c:pt idx="554">
                  <c:v>122.03081930787735</c:v>
                </c:pt>
                <c:pt idx="555">
                  <c:v>122.03102172198857</c:v>
                </c:pt>
                <c:pt idx="556">
                  <c:v>122.0312241326576</c:v>
                </c:pt>
                <c:pt idx="557">
                  <c:v>122.03142653988449</c:v>
                </c:pt>
                <c:pt idx="558">
                  <c:v>122.03162894366926</c:v>
                </c:pt>
                <c:pt idx="559">
                  <c:v>122.03183134401195</c:v>
                </c:pt>
                <c:pt idx="560">
                  <c:v>122.03203374091258</c:v>
                </c:pt>
                <c:pt idx="561">
                  <c:v>122.03223613437117</c:v>
                </c:pt>
                <c:pt idx="562">
                  <c:v>122.03243852438776</c:v>
                </c:pt>
                <c:pt idx="563">
                  <c:v>122.03264091096237</c:v>
                </c:pt>
                <c:pt idx="564">
                  <c:v>122.03284329409504</c:v>
                </c:pt>
                <c:pt idx="565">
                  <c:v>122.03304567378581</c:v>
                </c:pt>
                <c:pt idx="566">
                  <c:v>122.03324805003469</c:v>
                </c:pt>
                <c:pt idx="567">
                  <c:v>122.03345042284171</c:v>
                </c:pt>
                <c:pt idx="568">
                  <c:v>122.03365279220691</c:v>
                </c:pt>
                <c:pt idx="569">
                  <c:v>122.03385515813031</c:v>
                </c:pt>
                <c:pt idx="570">
                  <c:v>122.03405752061192</c:v>
                </c:pt>
                <c:pt idx="571">
                  <c:v>122.03425987965183</c:v>
                </c:pt>
                <c:pt idx="572">
                  <c:v>122.03446223525002</c:v>
                </c:pt>
                <c:pt idx="573">
                  <c:v>122.03466458740652</c:v>
                </c:pt>
                <c:pt idx="574">
                  <c:v>122.03486693612138</c:v>
                </c:pt>
                <c:pt idx="575">
                  <c:v>122.0350692813946</c:v>
                </c:pt>
                <c:pt idx="576">
                  <c:v>122.03527162322622</c:v>
                </c:pt>
                <c:pt idx="577">
                  <c:v>122.0354739616163</c:v>
                </c:pt>
                <c:pt idx="578">
                  <c:v>122.03567629656484</c:v>
                </c:pt>
                <c:pt idx="579">
                  <c:v>122.03587862807188</c:v>
                </c:pt>
                <c:pt idx="580">
                  <c:v>122.03608095613744</c:v>
                </c:pt>
                <c:pt idx="581">
                  <c:v>122.03628328076155</c:v>
                </c:pt>
                <c:pt idx="582">
                  <c:v>122.03648560194425</c:v>
                </c:pt>
                <c:pt idx="583">
                  <c:v>122.03668791968556</c:v>
                </c:pt>
                <c:pt idx="584">
                  <c:v>122.03689023398552</c:v>
                </c:pt>
                <c:pt idx="585">
                  <c:v>122.03709254484413</c:v>
                </c:pt>
                <c:pt idx="586">
                  <c:v>122.03729485226145</c:v>
                </c:pt>
                <c:pt idx="587">
                  <c:v>122.03749715623749</c:v>
                </c:pt>
                <c:pt idx="588">
                  <c:v>122.0376994567723</c:v>
                </c:pt>
                <c:pt idx="589">
                  <c:v>122.0379017538659</c:v>
                </c:pt>
                <c:pt idx="590">
                  <c:v>122.03810404751832</c:v>
                </c:pt>
                <c:pt idx="591">
                  <c:v>122.03830633772957</c:v>
                </c:pt>
                <c:pt idx="592">
                  <c:v>122.03850862449968</c:v>
                </c:pt>
                <c:pt idx="593">
                  <c:v>122.03871090782873</c:v>
                </c:pt>
                <c:pt idx="594">
                  <c:v>122.0389131877167</c:v>
                </c:pt>
                <c:pt idx="595">
                  <c:v>122.03911546416363</c:v>
                </c:pt>
                <c:pt idx="596">
                  <c:v>122.03931773716955</c:v>
                </c:pt>
                <c:pt idx="597">
                  <c:v>122.03952000673449</c:v>
                </c:pt>
                <c:pt idx="598">
                  <c:v>122.03972227285848</c:v>
                </c:pt>
                <c:pt idx="599">
                  <c:v>122.03992453554154</c:v>
                </c:pt>
                <c:pt idx="600">
                  <c:v>122.04012679478375</c:v>
                </c:pt>
                <c:pt idx="601">
                  <c:v>122.04032905058506</c:v>
                </c:pt>
                <c:pt idx="602">
                  <c:v>122.04053130294554</c:v>
                </c:pt>
                <c:pt idx="603">
                  <c:v>122.04073355186522</c:v>
                </c:pt>
                <c:pt idx="604">
                  <c:v>122.04093579734413</c:v>
                </c:pt>
                <c:pt idx="605">
                  <c:v>122.04113803938229</c:v>
                </c:pt>
                <c:pt idx="606">
                  <c:v>122.04134027797973</c:v>
                </c:pt>
                <c:pt idx="607">
                  <c:v>122.04154251313649</c:v>
                </c:pt>
                <c:pt idx="608">
                  <c:v>122.04174474485259</c:v>
                </c:pt>
                <c:pt idx="609">
                  <c:v>122.04194697312808</c:v>
                </c:pt>
                <c:pt idx="610">
                  <c:v>122.04214919796296</c:v>
                </c:pt>
                <c:pt idx="611">
                  <c:v>122.04235141935726</c:v>
                </c:pt>
                <c:pt idx="612">
                  <c:v>122.04255363731102</c:v>
                </c:pt>
                <c:pt idx="613">
                  <c:v>122.04275585182427</c:v>
                </c:pt>
                <c:pt idx="614">
                  <c:v>122.04295806289704</c:v>
                </c:pt>
                <c:pt idx="615">
                  <c:v>122.04316027052936</c:v>
                </c:pt>
                <c:pt idx="616">
                  <c:v>122.04336247472126</c:v>
                </c:pt>
                <c:pt idx="617">
                  <c:v>122.04356467547275</c:v>
                </c:pt>
                <c:pt idx="618">
                  <c:v>122.04376687278388</c:v>
                </c:pt>
                <c:pt idx="619">
                  <c:v>122.04396906665468</c:v>
                </c:pt>
                <c:pt idx="620">
                  <c:v>122.04417125708517</c:v>
                </c:pt>
                <c:pt idx="621">
                  <c:v>122.04437344407538</c:v>
                </c:pt>
                <c:pt idx="622">
                  <c:v>122.04457562762533</c:v>
                </c:pt>
                <c:pt idx="623">
                  <c:v>122.04477780773509</c:v>
                </c:pt>
                <c:pt idx="624">
                  <c:v>122.04497998440463</c:v>
                </c:pt>
                <c:pt idx="625">
                  <c:v>122.04518215763403</c:v>
                </c:pt>
                <c:pt idx="626">
                  <c:v>122.04538432742329</c:v>
                </c:pt>
                <c:pt idx="627">
                  <c:v>122.04558649377246</c:v>
                </c:pt>
                <c:pt idx="628">
                  <c:v>122.04578865668154</c:v>
                </c:pt>
                <c:pt idx="629">
                  <c:v>122.04599081615059</c:v>
                </c:pt>
                <c:pt idx="630">
                  <c:v>122.04619297217963</c:v>
                </c:pt>
                <c:pt idx="631">
                  <c:v>122.04639512476867</c:v>
                </c:pt>
                <c:pt idx="632">
                  <c:v>122.04659727391775</c:v>
                </c:pt>
                <c:pt idx="633">
                  <c:v>122.04679941962691</c:v>
                </c:pt>
                <c:pt idx="634">
                  <c:v>122.04700156189618</c:v>
                </c:pt>
                <c:pt idx="635">
                  <c:v>122.04720370072556</c:v>
                </c:pt>
                <c:pt idx="636">
                  <c:v>122.04740583611512</c:v>
                </c:pt>
                <c:pt idx="637">
                  <c:v>122.04760796806487</c:v>
                </c:pt>
                <c:pt idx="638">
                  <c:v>122.04781009657481</c:v>
                </c:pt>
                <c:pt idx="639">
                  <c:v>122.04801222164502</c:v>
                </c:pt>
                <c:pt idx="640">
                  <c:v>122.04821434327552</c:v>
                </c:pt>
                <c:pt idx="641">
                  <c:v>122.04841646146632</c:v>
                </c:pt>
                <c:pt idx="642">
                  <c:v>122.04861857621745</c:v>
                </c:pt>
                <c:pt idx="643">
                  <c:v>122.04882068752894</c:v>
                </c:pt>
                <c:pt idx="644">
                  <c:v>122.04902279540083</c:v>
                </c:pt>
                <c:pt idx="645">
                  <c:v>122.04922489983315</c:v>
                </c:pt>
                <c:pt idx="646">
                  <c:v>122.0494270008259</c:v>
                </c:pt>
                <c:pt idx="647">
                  <c:v>122.04962909837916</c:v>
                </c:pt>
                <c:pt idx="648">
                  <c:v>122.04983119249292</c:v>
                </c:pt>
                <c:pt idx="649">
                  <c:v>122.05003328316721</c:v>
                </c:pt>
                <c:pt idx="650">
                  <c:v>122.05023537040208</c:v>
                </c:pt>
                <c:pt idx="651">
                  <c:v>122.05043745419755</c:v>
                </c:pt>
                <c:pt idx="652">
                  <c:v>122.05063953455365</c:v>
                </c:pt>
                <c:pt idx="653">
                  <c:v>122.05084161147039</c:v>
                </c:pt>
                <c:pt idx="654">
                  <c:v>122.05104368494783</c:v>
                </c:pt>
                <c:pt idx="655">
                  <c:v>122.05124575498598</c:v>
                </c:pt>
                <c:pt idx="656">
                  <c:v>122.05144782158489</c:v>
                </c:pt>
                <c:pt idx="657">
                  <c:v>122.05164988474455</c:v>
                </c:pt>
                <c:pt idx="658">
                  <c:v>122.05185194446503</c:v>
                </c:pt>
                <c:pt idx="659">
                  <c:v>122.05205400074634</c:v>
                </c:pt>
                <c:pt idx="660">
                  <c:v>122.05225605358851</c:v>
                </c:pt>
                <c:pt idx="661">
                  <c:v>122.05245810299157</c:v>
                </c:pt>
                <c:pt idx="662">
                  <c:v>122.05266014895555</c:v>
                </c:pt>
                <c:pt idx="663">
                  <c:v>122.05286219148049</c:v>
                </c:pt>
                <c:pt idx="664">
                  <c:v>122.05306423056639</c:v>
                </c:pt>
                <c:pt idx="665">
                  <c:v>122.05326626621331</c:v>
                </c:pt>
                <c:pt idx="666">
                  <c:v>122.05346829842127</c:v>
                </c:pt>
                <c:pt idx="667">
                  <c:v>122.05367032719029</c:v>
                </c:pt>
                <c:pt idx="668">
                  <c:v>122.05387235252041</c:v>
                </c:pt>
                <c:pt idx="669">
                  <c:v>122.05407437441164</c:v>
                </c:pt>
                <c:pt idx="670">
                  <c:v>122.05427639286404</c:v>
                </c:pt>
                <c:pt idx="671">
                  <c:v>122.05447840787761</c:v>
                </c:pt>
                <c:pt idx="672">
                  <c:v>122.05468041945241</c:v>
                </c:pt>
                <c:pt idx="673">
                  <c:v>122.05488242758844</c:v>
                </c:pt>
                <c:pt idx="674">
                  <c:v>122.05508443228577</c:v>
                </c:pt>
                <c:pt idx="675">
                  <c:v>122.05528643354435</c:v>
                </c:pt>
                <c:pt idx="676">
                  <c:v>122.0554884313643</c:v>
                </c:pt>
                <c:pt idx="677">
                  <c:v>122.0556904257456</c:v>
                </c:pt>
                <c:pt idx="678">
                  <c:v>122.05589241668825</c:v>
                </c:pt>
                <c:pt idx="679">
                  <c:v>122.05609440419235</c:v>
                </c:pt>
                <c:pt idx="680">
                  <c:v>122.05629638825789</c:v>
                </c:pt>
                <c:pt idx="681">
                  <c:v>122.0564983688849</c:v>
                </c:pt>
                <c:pt idx="682">
                  <c:v>122.05670034607343</c:v>
                </c:pt>
                <c:pt idx="683">
                  <c:v>122.05690231982348</c:v>
                </c:pt>
                <c:pt idx="684">
                  <c:v>122.0571042901351</c:v>
                </c:pt>
                <c:pt idx="685">
                  <c:v>122.05730625700832</c:v>
                </c:pt>
                <c:pt idx="686">
                  <c:v>122.05750822044315</c:v>
                </c:pt>
                <c:pt idx="687">
                  <c:v>122.05771018043964</c:v>
                </c:pt>
                <c:pt idx="688">
                  <c:v>122.0579121369978</c:v>
                </c:pt>
                <c:pt idx="689">
                  <c:v>122.05811409011768</c:v>
                </c:pt>
                <c:pt idx="690">
                  <c:v>122.05831603979928</c:v>
                </c:pt>
                <c:pt idx="691">
                  <c:v>122.05851798604266</c:v>
                </c:pt>
                <c:pt idx="692">
                  <c:v>122.05871992884784</c:v>
                </c:pt>
                <c:pt idx="693">
                  <c:v>122.05892186821484</c:v>
                </c:pt>
                <c:pt idx="694">
                  <c:v>122.05912380414368</c:v>
                </c:pt>
                <c:pt idx="695">
                  <c:v>122.05932573663442</c:v>
                </c:pt>
                <c:pt idx="696">
                  <c:v>122.05952766568707</c:v>
                </c:pt>
                <c:pt idx="697">
                  <c:v>122.05972959130166</c:v>
                </c:pt>
                <c:pt idx="698">
                  <c:v>122.05993151347823</c:v>
                </c:pt>
                <c:pt idx="699">
                  <c:v>122.0601334322168</c:v>
                </c:pt>
                <c:pt idx="700">
                  <c:v>122.06033534751738</c:v>
                </c:pt>
                <c:pt idx="701">
                  <c:v>122.06053725938004</c:v>
                </c:pt>
                <c:pt idx="702">
                  <c:v>122.06073916780478</c:v>
                </c:pt>
                <c:pt idx="703">
                  <c:v>122.06094107279165</c:v>
                </c:pt>
                <c:pt idx="704">
                  <c:v>122.06114297434065</c:v>
                </c:pt>
                <c:pt idx="705">
                  <c:v>122.06134487245184</c:v>
                </c:pt>
                <c:pt idx="706">
                  <c:v>122.06154676712522</c:v>
                </c:pt>
                <c:pt idx="707">
                  <c:v>122.06174865836086</c:v>
                </c:pt>
                <c:pt idx="708">
                  <c:v>122.06195054615874</c:v>
                </c:pt>
                <c:pt idx="709">
                  <c:v>122.06215243051894</c:v>
                </c:pt>
                <c:pt idx="710">
                  <c:v>122.06235431144144</c:v>
                </c:pt>
                <c:pt idx="711">
                  <c:v>122.06255618892629</c:v>
                </c:pt>
                <c:pt idx="712">
                  <c:v>122.06275806297354</c:v>
                </c:pt>
                <c:pt idx="713">
                  <c:v>122.06295993358319</c:v>
                </c:pt>
                <c:pt idx="714">
                  <c:v>122.06316180075528</c:v>
                </c:pt>
                <c:pt idx="715">
                  <c:v>122.06336366448984</c:v>
                </c:pt>
                <c:pt idx="716">
                  <c:v>122.06356552478691</c:v>
                </c:pt>
                <c:pt idx="717">
                  <c:v>122.06376738164649</c:v>
                </c:pt>
                <c:pt idx="718">
                  <c:v>122.06396923506863</c:v>
                </c:pt>
                <c:pt idx="719">
                  <c:v>122.06417108505336</c:v>
                </c:pt>
                <c:pt idx="720">
                  <c:v>122.06437293160072</c:v>
                </c:pt>
                <c:pt idx="721">
                  <c:v>122.06457477471069</c:v>
                </c:pt>
                <c:pt idx="722">
                  <c:v>122.06477661438336</c:v>
                </c:pt>
                <c:pt idx="723">
                  <c:v>122.06497845061874</c:v>
                </c:pt>
                <c:pt idx="724">
                  <c:v>122.06518028341684</c:v>
                </c:pt>
                <c:pt idx="725">
                  <c:v>122.06538211277768</c:v>
                </c:pt>
                <c:pt idx="726">
                  <c:v>122.06558393870134</c:v>
                </c:pt>
                <c:pt idx="727">
                  <c:v>122.0657857611878</c:v>
                </c:pt>
                <c:pt idx="728">
                  <c:v>122.06598758023712</c:v>
                </c:pt>
                <c:pt idx="729">
                  <c:v>122.06618939584931</c:v>
                </c:pt>
                <c:pt idx="730">
                  <c:v>122.0663912080244</c:v>
                </c:pt>
                <c:pt idx="731">
                  <c:v>122.06659301676244</c:v>
                </c:pt>
                <c:pt idx="732">
                  <c:v>122.06679482206344</c:v>
                </c:pt>
                <c:pt idx="733">
                  <c:v>122.06699662392744</c:v>
                </c:pt>
                <c:pt idx="734">
                  <c:v>122.06719842235447</c:v>
                </c:pt>
                <c:pt idx="735">
                  <c:v>122.06740021734453</c:v>
                </c:pt>
                <c:pt idx="736">
                  <c:v>122.06760200889769</c:v>
                </c:pt>
                <c:pt idx="737">
                  <c:v>122.06780379701395</c:v>
                </c:pt>
                <c:pt idx="738">
                  <c:v>122.06800558169336</c:v>
                </c:pt>
                <c:pt idx="739">
                  <c:v>122.06820736293594</c:v>
                </c:pt>
                <c:pt idx="740">
                  <c:v>122.06840914074171</c:v>
                </c:pt>
                <c:pt idx="741">
                  <c:v>122.06861091511072</c:v>
                </c:pt>
                <c:pt idx="742">
                  <c:v>122.06881268604299</c:v>
                </c:pt>
                <c:pt idx="743">
                  <c:v>122.06901445353853</c:v>
                </c:pt>
                <c:pt idx="744">
                  <c:v>122.0692162175974</c:v>
                </c:pt>
                <c:pt idx="745">
                  <c:v>122.0694179782196</c:v>
                </c:pt>
                <c:pt idx="746">
                  <c:v>122.0696197354052</c:v>
                </c:pt>
                <c:pt idx="747">
                  <c:v>122.06982148915418</c:v>
                </c:pt>
                <c:pt idx="748">
                  <c:v>122.07002323946661</c:v>
                </c:pt>
                <c:pt idx="749">
                  <c:v>122.07022498634248</c:v>
                </c:pt>
                <c:pt idx="750">
                  <c:v>122.07042672978187</c:v>
                </c:pt>
                <c:pt idx="751">
                  <c:v>122.07062846978477</c:v>
                </c:pt>
                <c:pt idx="752">
                  <c:v>122.0708302063512</c:v>
                </c:pt>
                <c:pt idx="753">
                  <c:v>122.07103193948123</c:v>
                </c:pt>
                <c:pt idx="754">
                  <c:v>122.07123366917487</c:v>
                </c:pt>
                <c:pt idx="755">
                  <c:v>122.07143539543213</c:v>
                </c:pt>
                <c:pt idx="756">
                  <c:v>122.07163711825308</c:v>
                </c:pt>
                <c:pt idx="757">
                  <c:v>122.07183883763771</c:v>
                </c:pt>
                <c:pt idx="758">
                  <c:v>122.07204055358606</c:v>
                </c:pt>
                <c:pt idx="759">
                  <c:v>122.07224226609819</c:v>
                </c:pt>
                <c:pt idx="760">
                  <c:v>122.0724439751741</c:v>
                </c:pt>
                <c:pt idx="761">
                  <c:v>122.07264568081379</c:v>
                </c:pt>
                <c:pt idx="762">
                  <c:v>122.07284738301735</c:v>
                </c:pt>
                <c:pt idx="763">
                  <c:v>122.07304908178477</c:v>
                </c:pt>
                <c:pt idx="764">
                  <c:v>122.0732507771161</c:v>
                </c:pt>
                <c:pt idx="765">
                  <c:v>122.07345246901134</c:v>
                </c:pt>
                <c:pt idx="766">
                  <c:v>122.07365415747054</c:v>
                </c:pt>
                <c:pt idx="767">
                  <c:v>122.07385584249376</c:v>
                </c:pt>
                <c:pt idx="768">
                  <c:v>122.07405752408097</c:v>
                </c:pt>
                <c:pt idx="769">
                  <c:v>122.07425920223224</c:v>
                </c:pt>
                <c:pt idx="770">
                  <c:v>122.07446087694757</c:v>
                </c:pt>
                <c:pt idx="771">
                  <c:v>122.07466254822702</c:v>
                </c:pt>
                <c:pt idx="772">
                  <c:v>122.07486421607059</c:v>
                </c:pt>
                <c:pt idx="773">
                  <c:v>122.07506588047833</c:v>
                </c:pt>
                <c:pt idx="774">
                  <c:v>122.07526754145027</c:v>
                </c:pt>
                <c:pt idx="775">
                  <c:v>122.07546919898643</c:v>
                </c:pt>
                <c:pt idx="776">
                  <c:v>122.07567085308685</c:v>
                </c:pt>
                <c:pt idx="777">
                  <c:v>122.07587250375153</c:v>
                </c:pt>
                <c:pt idx="778">
                  <c:v>122.07607415098052</c:v>
                </c:pt>
                <c:pt idx="779">
                  <c:v>122.07627579477386</c:v>
                </c:pt>
                <c:pt idx="780">
                  <c:v>122.07647743513157</c:v>
                </c:pt>
                <c:pt idx="781">
                  <c:v>122.07667907205365</c:v>
                </c:pt>
                <c:pt idx="782">
                  <c:v>122.07688070554018</c:v>
                </c:pt>
                <c:pt idx="783">
                  <c:v>122.07708233559116</c:v>
                </c:pt>
                <c:pt idx="784">
                  <c:v>122.07728396220664</c:v>
                </c:pt>
                <c:pt idx="785">
                  <c:v>122.07748558538663</c:v>
                </c:pt>
                <c:pt idx="786">
                  <c:v>122.07768720513114</c:v>
                </c:pt>
                <c:pt idx="787">
                  <c:v>122.07788882144025</c:v>
                </c:pt>
                <c:pt idx="788">
                  <c:v>122.07809043431394</c:v>
                </c:pt>
                <c:pt idx="789">
                  <c:v>122.07829204375227</c:v>
                </c:pt>
                <c:pt idx="790">
                  <c:v>122.07849364975526</c:v>
                </c:pt>
                <c:pt idx="791">
                  <c:v>122.07869525232294</c:v>
                </c:pt>
                <c:pt idx="792">
                  <c:v>122.07889685145534</c:v>
                </c:pt>
                <c:pt idx="793">
                  <c:v>122.0790984471525</c:v>
                </c:pt>
                <c:pt idx="794">
                  <c:v>122.07930003941441</c:v>
                </c:pt>
                <c:pt idx="795">
                  <c:v>122.07950162824113</c:v>
                </c:pt>
                <c:pt idx="796">
                  <c:v>122.07970321363271</c:v>
                </c:pt>
                <c:pt idx="797">
                  <c:v>122.07990479558913</c:v>
                </c:pt>
                <c:pt idx="798">
                  <c:v>122.08010637411046</c:v>
                </c:pt>
                <c:pt idx="799">
                  <c:v>122.08030794919671</c:v>
                </c:pt>
                <c:pt idx="800">
                  <c:v>122.0805095208479</c:v>
                </c:pt>
                <c:pt idx="801">
                  <c:v>122.08071108906408</c:v>
                </c:pt>
                <c:pt idx="802">
                  <c:v>122.08091265384527</c:v>
                </c:pt>
                <c:pt idx="803">
                  <c:v>122.0811142151915</c:v>
                </c:pt>
                <c:pt idx="804">
                  <c:v>122.0813157731028</c:v>
                </c:pt>
                <c:pt idx="805">
                  <c:v>122.08151732757921</c:v>
                </c:pt>
                <c:pt idx="806">
                  <c:v>122.08171887862072</c:v>
                </c:pt>
                <c:pt idx="807">
                  <c:v>122.08192042622741</c:v>
                </c:pt>
                <c:pt idx="808">
                  <c:v>122.08212197039929</c:v>
                </c:pt>
                <c:pt idx="809">
                  <c:v>122.08232351113638</c:v>
                </c:pt>
                <c:pt idx="810">
                  <c:v>122.08252504843871</c:v>
                </c:pt>
                <c:pt idx="811">
                  <c:v>122.08272658230632</c:v>
                </c:pt>
                <c:pt idx="812">
                  <c:v>122.08292811273922</c:v>
                </c:pt>
                <c:pt idx="813">
                  <c:v>122.08312963973745</c:v>
                </c:pt>
                <c:pt idx="814">
                  <c:v>122.08333116330104</c:v>
                </c:pt>
                <c:pt idx="815">
                  <c:v>122.08353268343004</c:v>
                </c:pt>
                <c:pt idx="816">
                  <c:v>122.08373420012444</c:v>
                </c:pt>
                <c:pt idx="817">
                  <c:v>122.08393571338431</c:v>
                </c:pt>
                <c:pt idx="818">
                  <c:v>122.08413722320964</c:v>
                </c:pt>
                <c:pt idx="819">
                  <c:v>122.08433872960047</c:v>
                </c:pt>
                <c:pt idx="820">
                  <c:v>122.08454023255688</c:v>
                </c:pt>
                <c:pt idx="821">
                  <c:v>122.08474173207883</c:v>
                </c:pt>
                <c:pt idx="822">
                  <c:v>122.08494322816637</c:v>
                </c:pt>
                <c:pt idx="823">
                  <c:v>122.08514472081953</c:v>
                </c:pt>
                <c:pt idx="824">
                  <c:v>122.08534621003837</c:v>
                </c:pt>
                <c:pt idx="825">
                  <c:v>122.08554769582287</c:v>
                </c:pt>
                <c:pt idx="826">
                  <c:v>122.08574917817307</c:v>
                </c:pt>
                <c:pt idx="827">
                  <c:v>122.08595065708903</c:v>
                </c:pt>
                <c:pt idx="828">
                  <c:v>122.08615213257076</c:v>
                </c:pt>
                <c:pt idx="829">
                  <c:v>122.08635360461828</c:v>
                </c:pt>
                <c:pt idx="830">
                  <c:v>122.08655507323162</c:v>
                </c:pt>
                <c:pt idx="831">
                  <c:v>122.08675653841084</c:v>
                </c:pt>
                <c:pt idx="832">
                  <c:v>122.08695800015595</c:v>
                </c:pt>
                <c:pt idx="833">
                  <c:v>122.08715945846696</c:v>
                </c:pt>
                <c:pt idx="834">
                  <c:v>122.08736091334391</c:v>
                </c:pt>
                <c:pt idx="835">
                  <c:v>122.08756236478686</c:v>
                </c:pt>
                <c:pt idx="836">
                  <c:v>122.0877638127958</c:v>
                </c:pt>
                <c:pt idx="837">
                  <c:v>122.08796525737078</c:v>
                </c:pt>
                <c:pt idx="838">
                  <c:v>122.08816669851181</c:v>
                </c:pt>
                <c:pt idx="839">
                  <c:v>122.08836813621895</c:v>
                </c:pt>
                <c:pt idx="840">
                  <c:v>122.0885695704922</c:v>
                </c:pt>
                <c:pt idx="841">
                  <c:v>122.08877100133161</c:v>
                </c:pt>
                <c:pt idx="842">
                  <c:v>122.08897242873718</c:v>
                </c:pt>
                <c:pt idx="843">
                  <c:v>122.08917385270898</c:v>
                </c:pt>
                <c:pt idx="844">
                  <c:v>122.089375273247</c:v>
                </c:pt>
                <c:pt idx="845">
                  <c:v>122.08957669035129</c:v>
                </c:pt>
                <c:pt idx="846">
                  <c:v>122.08977810402187</c:v>
                </c:pt>
                <c:pt idx="847">
                  <c:v>122.0899795142588</c:v>
                </c:pt>
                <c:pt idx="848">
                  <c:v>122.09018092106207</c:v>
                </c:pt>
                <c:pt idx="849">
                  <c:v>122.09038232443173</c:v>
                </c:pt>
                <c:pt idx="850">
                  <c:v>122.09058372436779</c:v>
                </c:pt>
                <c:pt idx="851">
                  <c:v>122.09078512087031</c:v>
                </c:pt>
                <c:pt idx="852">
                  <c:v>122.09098651393928</c:v>
                </c:pt>
                <c:pt idx="853">
                  <c:v>122.09118790357478</c:v>
                </c:pt>
                <c:pt idx="854">
                  <c:v>122.0913892897768</c:v>
                </c:pt>
                <c:pt idx="855">
                  <c:v>122.09159067254538</c:v>
                </c:pt>
                <c:pt idx="856">
                  <c:v>122.09179205188055</c:v>
                </c:pt>
                <c:pt idx="857">
                  <c:v>122.09199342778233</c:v>
                </c:pt>
                <c:pt idx="858">
                  <c:v>122.09219480025077</c:v>
                </c:pt>
                <c:pt idx="859">
                  <c:v>122.09239616928586</c:v>
                </c:pt>
                <c:pt idx="860">
                  <c:v>122.09259753488769</c:v>
                </c:pt>
                <c:pt idx="861">
                  <c:v>122.09279889705623</c:v>
                </c:pt>
                <c:pt idx="862">
                  <c:v>122.09300025579154</c:v>
                </c:pt>
                <c:pt idx="863">
                  <c:v>122.09320161109363</c:v>
                </c:pt>
                <c:pt idx="864">
                  <c:v>122.09340296296256</c:v>
                </c:pt>
                <c:pt idx="865">
                  <c:v>122.09360431139832</c:v>
                </c:pt>
                <c:pt idx="866">
                  <c:v>122.09380565640099</c:v>
                </c:pt>
                <c:pt idx="867">
                  <c:v>122.09400699797057</c:v>
                </c:pt>
                <c:pt idx="868">
                  <c:v>122.09420833610707</c:v>
                </c:pt>
                <c:pt idx="869">
                  <c:v>122.09440967081053</c:v>
                </c:pt>
                <c:pt idx="870">
                  <c:v>122.09461100208101</c:v>
                </c:pt>
                <c:pt idx="871">
                  <c:v>122.09481232991851</c:v>
                </c:pt>
                <c:pt idx="872">
                  <c:v>122.09501365432307</c:v>
                </c:pt>
                <c:pt idx="873">
                  <c:v>122.09521497529471</c:v>
                </c:pt>
                <c:pt idx="874">
                  <c:v>122.09541629283346</c:v>
                </c:pt>
                <c:pt idx="875">
                  <c:v>122.09561760693937</c:v>
                </c:pt>
                <c:pt idx="876">
                  <c:v>122.09581891761245</c:v>
                </c:pt>
                <c:pt idx="877">
                  <c:v>122.09602022485272</c:v>
                </c:pt>
                <c:pt idx="878">
                  <c:v>122.09622152866022</c:v>
                </c:pt>
                <c:pt idx="879">
                  <c:v>122.09642282903499</c:v>
                </c:pt>
                <c:pt idx="880">
                  <c:v>122.09662412597704</c:v>
                </c:pt>
                <c:pt idx="881">
                  <c:v>122.09682541948642</c:v>
                </c:pt>
                <c:pt idx="882">
                  <c:v>122.09702670956314</c:v>
                </c:pt>
                <c:pt idx="883">
                  <c:v>122.09722799620725</c:v>
                </c:pt>
                <c:pt idx="884">
                  <c:v>122.09742927941876</c:v>
                </c:pt>
                <c:pt idx="885">
                  <c:v>122.0976305591977</c:v>
                </c:pt>
                <c:pt idx="886">
                  <c:v>122.09783183554411</c:v>
                </c:pt>
                <c:pt idx="887">
                  <c:v>122.09803310845801</c:v>
                </c:pt>
                <c:pt idx="888">
                  <c:v>122.09823437793945</c:v>
                </c:pt>
                <c:pt idx="889">
                  <c:v>122.09843564398844</c:v>
                </c:pt>
                <c:pt idx="890">
                  <c:v>122.09863690660499</c:v>
                </c:pt>
                <c:pt idx="891">
                  <c:v>122.09883816578918</c:v>
                </c:pt>
                <c:pt idx="892">
                  <c:v>122.09903942154099</c:v>
                </c:pt>
                <c:pt idx="893">
                  <c:v>122.09924067386046</c:v>
                </c:pt>
                <c:pt idx="894">
                  <c:v>122.09944192274764</c:v>
                </c:pt>
                <c:pt idx="895">
                  <c:v>122.09964316820255</c:v>
                </c:pt>
                <c:pt idx="896">
                  <c:v>122.09984441022522</c:v>
                </c:pt>
                <c:pt idx="897">
                  <c:v>122.10004564881568</c:v>
                </c:pt>
                <c:pt idx="898">
                  <c:v>122.10024688397394</c:v>
                </c:pt>
                <c:pt idx="899">
                  <c:v>122.10044811570005</c:v>
                </c:pt>
                <c:pt idx="900">
                  <c:v>122.10064934399404</c:v>
                </c:pt>
                <c:pt idx="901">
                  <c:v>122.10085056885593</c:v>
                </c:pt>
                <c:pt idx="902">
                  <c:v>122.10105179028577</c:v>
                </c:pt>
                <c:pt idx="903">
                  <c:v>122.10125300828355</c:v>
                </c:pt>
                <c:pt idx="904">
                  <c:v>122.10145422284933</c:v>
                </c:pt>
                <c:pt idx="905">
                  <c:v>122.10165543398314</c:v>
                </c:pt>
                <c:pt idx="906">
                  <c:v>122.10185664168498</c:v>
                </c:pt>
                <c:pt idx="907">
                  <c:v>122.10205784595489</c:v>
                </c:pt>
                <c:pt idx="908">
                  <c:v>122.10225904679294</c:v>
                </c:pt>
                <c:pt idx="909">
                  <c:v>122.10246024419911</c:v>
                </c:pt>
                <c:pt idx="910">
                  <c:v>122.10266143817344</c:v>
                </c:pt>
                <c:pt idx="911">
                  <c:v>122.10286262871598</c:v>
                </c:pt>
                <c:pt idx="912">
                  <c:v>122.10306381582674</c:v>
                </c:pt>
                <c:pt idx="913">
                  <c:v>122.10326499950575</c:v>
                </c:pt>
                <c:pt idx="914">
                  <c:v>122.10346617975306</c:v>
                </c:pt>
                <c:pt idx="915">
                  <c:v>122.10366735656866</c:v>
                </c:pt>
                <c:pt idx="916">
                  <c:v>122.10386852995262</c:v>
                </c:pt>
                <c:pt idx="917">
                  <c:v>122.10406969990494</c:v>
                </c:pt>
                <c:pt idx="918">
                  <c:v>122.10427086642567</c:v>
                </c:pt>
                <c:pt idx="919">
                  <c:v>122.10447202951481</c:v>
                </c:pt>
                <c:pt idx="920">
                  <c:v>122.10467318917242</c:v>
                </c:pt>
                <c:pt idx="921">
                  <c:v>122.10487434539851</c:v>
                </c:pt>
                <c:pt idx="922">
                  <c:v>122.10507549819313</c:v>
                </c:pt>
                <c:pt idx="923">
                  <c:v>122.10527664755629</c:v>
                </c:pt>
                <c:pt idx="924">
                  <c:v>122.10547779348802</c:v>
                </c:pt>
                <c:pt idx="925">
                  <c:v>122.10567893598837</c:v>
                </c:pt>
                <c:pt idx="926">
                  <c:v>122.10588007505734</c:v>
                </c:pt>
                <c:pt idx="927">
                  <c:v>122.10608121069498</c:v>
                </c:pt>
                <c:pt idx="928">
                  <c:v>122.10628234290131</c:v>
                </c:pt>
                <c:pt idx="929">
                  <c:v>122.10648347167636</c:v>
                </c:pt>
                <c:pt idx="930">
                  <c:v>122.10668459702016</c:v>
                </c:pt>
                <c:pt idx="931">
                  <c:v>122.10688571893274</c:v>
                </c:pt>
                <c:pt idx="932">
                  <c:v>122.10708683741414</c:v>
                </c:pt>
                <c:pt idx="933">
                  <c:v>122.10728795246438</c:v>
                </c:pt>
                <c:pt idx="934">
                  <c:v>122.10748906408348</c:v>
                </c:pt>
                <c:pt idx="935">
                  <c:v>122.10769017227146</c:v>
                </c:pt>
                <c:pt idx="936">
                  <c:v>122.1078912770284</c:v>
                </c:pt>
                <c:pt idx="937">
                  <c:v>122.10809237835427</c:v>
                </c:pt>
                <c:pt idx="938">
                  <c:v>122.10829347624914</c:v>
                </c:pt>
                <c:pt idx="939">
                  <c:v>122.10849457071302</c:v>
                </c:pt>
                <c:pt idx="940">
                  <c:v>122.10869566174594</c:v>
                </c:pt>
                <c:pt idx="941">
                  <c:v>122.10889674934793</c:v>
                </c:pt>
                <c:pt idx="942">
                  <c:v>122.10909783351903</c:v>
                </c:pt>
                <c:pt idx="943">
                  <c:v>122.10929891425926</c:v>
                </c:pt>
                <c:pt idx="944">
                  <c:v>122.10949999156864</c:v>
                </c:pt>
                <c:pt idx="945">
                  <c:v>122.10970106544721</c:v>
                </c:pt>
                <c:pt idx="946">
                  <c:v>122.10990213589501</c:v>
                </c:pt>
                <c:pt idx="947">
                  <c:v>122.11010320291204</c:v>
                </c:pt>
                <c:pt idx="948">
                  <c:v>122.11030426649836</c:v>
                </c:pt>
                <c:pt idx="949">
                  <c:v>122.11050532665398</c:v>
                </c:pt>
                <c:pt idx="950">
                  <c:v>122.11070638337894</c:v>
                </c:pt>
                <c:pt idx="951">
                  <c:v>122.11090743667327</c:v>
                </c:pt>
                <c:pt idx="952">
                  <c:v>122.11110848653698</c:v>
                </c:pt>
                <c:pt idx="953">
                  <c:v>122.11130953297013</c:v>
                </c:pt>
                <c:pt idx="954">
                  <c:v>122.11151057597272</c:v>
                </c:pt>
                <c:pt idx="955">
                  <c:v>122.11171161554478</c:v>
                </c:pt>
                <c:pt idx="956">
                  <c:v>122.11191265168635</c:v>
                </c:pt>
                <c:pt idx="957">
                  <c:v>122.11211368439747</c:v>
                </c:pt>
                <c:pt idx="958">
                  <c:v>122.11231471367817</c:v>
                </c:pt>
                <c:pt idx="959">
                  <c:v>122.11251573952846</c:v>
                </c:pt>
                <c:pt idx="960">
                  <c:v>122.11271676194839</c:v>
                </c:pt>
                <c:pt idx="961">
                  <c:v>122.11291778093796</c:v>
                </c:pt>
                <c:pt idx="962">
                  <c:v>122.11311879649722</c:v>
                </c:pt>
                <c:pt idx="963">
                  <c:v>122.11331980862619</c:v>
                </c:pt>
                <c:pt idx="964">
                  <c:v>122.11352081732491</c:v>
                </c:pt>
                <c:pt idx="965">
                  <c:v>122.1137218225934</c:v>
                </c:pt>
                <c:pt idx="966">
                  <c:v>122.1139228244317</c:v>
                </c:pt>
                <c:pt idx="967">
                  <c:v>122.11412382283983</c:v>
                </c:pt>
                <c:pt idx="968">
                  <c:v>122.1143248178178</c:v>
                </c:pt>
                <c:pt idx="969">
                  <c:v>122.11452580936567</c:v>
                </c:pt>
                <c:pt idx="970">
                  <c:v>122.11472679748348</c:v>
                </c:pt>
                <c:pt idx="971">
                  <c:v>122.11492778217124</c:v>
                </c:pt>
                <c:pt idx="972">
                  <c:v>122.11512876342897</c:v>
                </c:pt>
                <c:pt idx="973">
                  <c:v>122.11532974125669</c:v>
                </c:pt>
                <c:pt idx="974">
                  <c:v>122.11553071565446</c:v>
                </c:pt>
                <c:pt idx="975">
                  <c:v>122.1157316866223</c:v>
                </c:pt>
                <c:pt idx="976">
                  <c:v>122.11593265416022</c:v>
                </c:pt>
                <c:pt idx="977">
                  <c:v>122.11613361826828</c:v>
                </c:pt>
                <c:pt idx="978">
                  <c:v>122.11633457894648</c:v>
                </c:pt>
                <c:pt idx="979">
                  <c:v>122.11653553619486</c:v>
                </c:pt>
                <c:pt idx="980">
                  <c:v>122.11673649001347</c:v>
                </c:pt>
                <c:pt idx="981">
                  <c:v>122.11693744040231</c:v>
                </c:pt>
                <c:pt idx="982">
                  <c:v>122.11713838736142</c:v>
                </c:pt>
                <c:pt idx="983">
                  <c:v>122.11733933089084</c:v>
                </c:pt>
                <c:pt idx="984">
                  <c:v>122.11754027099059</c:v>
                </c:pt>
                <c:pt idx="985">
                  <c:v>122.11774120766069</c:v>
                </c:pt>
                <c:pt idx="986">
                  <c:v>122.11794214090118</c:v>
                </c:pt>
                <c:pt idx="987">
                  <c:v>122.11814307071209</c:v>
                </c:pt>
                <c:pt idx="988">
                  <c:v>122.11834399709345</c:v>
                </c:pt>
                <c:pt idx="989">
                  <c:v>122.11854492004527</c:v>
                </c:pt>
                <c:pt idx="990">
                  <c:v>122.11874583956761</c:v>
                </c:pt>
                <c:pt idx="991">
                  <c:v>122.11894675566046</c:v>
                </c:pt>
                <c:pt idx="992">
                  <c:v>122.11914766832388</c:v>
                </c:pt>
                <c:pt idx="993">
                  <c:v>122.1193485775579</c:v>
                </c:pt>
                <c:pt idx="994">
                  <c:v>122.11954948336253</c:v>
                </c:pt>
                <c:pt idx="995">
                  <c:v>122.11975038573782</c:v>
                </c:pt>
                <c:pt idx="996">
                  <c:v>122.11995128468379</c:v>
                </c:pt>
                <c:pt idx="997">
                  <c:v>122.12015218020045</c:v>
                </c:pt>
                <c:pt idx="998">
                  <c:v>122.12035307228786</c:v>
                </c:pt>
                <c:pt idx="999">
                  <c:v>122.12055396094604</c:v>
                </c:pt>
                <c:pt idx="1000">
                  <c:v>122.120754846175</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Calculs!$AG$4:$AG$1004</c:f>
              <c:numCache>
                <c:formatCode>0.00</c:formatCode>
                <c:ptCount val="1001"/>
                <c:pt idx="0">
                  <c:v>0</c:v>
                </c:pt>
                <c:pt idx="1">
                  <c:v>19.429107498147729</c:v>
                </c:pt>
                <c:pt idx="2">
                  <c:v>100.41839758335976</c:v>
                </c:pt>
                <c:pt idx="3">
                  <c:v>149.78013405590525</c:v>
                </c:pt>
                <c:pt idx="4">
                  <c:v>144.62980142711368</c:v>
                </c:pt>
                <c:pt idx="5">
                  <c:v>139.46591940562834</c:v>
                </c:pt>
                <c:pt idx="6">
                  <c:v>137.44488983475034</c:v>
                </c:pt>
                <c:pt idx="7">
                  <c:v>138.57589606297898</c:v>
                </c:pt>
                <c:pt idx="8">
                  <c:v>139.70747892871245</c:v>
                </c:pt>
                <c:pt idx="9">
                  <c:v>140.83961352875201</c:v>
                </c:pt>
                <c:pt idx="10">
                  <c:v>141.97227453826048</c:v>
                </c:pt>
                <c:pt idx="11">
                  <c:v>142.77780205041978</c:v>
                </c:pt>
                <c:pt idx="12">
                  <c:v>143.25521988540234</c:v>
                </c:pt>
                <c:pt idx="13">
                  <c:v>143.73168667938231</c:v>
                </c:pt>
                <c:pt idx="14">
                  <c:v>144.20718424334058</c:v>
                </c:pt>
                <c:pt idx="15">
                  <c:v>144.68169433116495</c:v>
                </c:pt>
                <c:pt idx="16">
                  <c:v>145.15519864110325</c:v>
                </c:pt>
                <c:pt idx="17">
                  <c:v>145.62767881723821</c:v>
                </c:pt>
                <c:pt idx="18">
                  <c:v>146.09911645098416</c:v>
                </c:pt>
                <c:pt idx="19">
                  <c:v>146.56949308260531</c:v>
                </c:pt>
                <c:pt idx="20">
                  <c:v>147.03879020275593</c:v>
                </c:pt>
                <c:pt idx="21">
                  <c:v>147.3754097221987</c:v>
                </c:pt>
                <c:pt idx="22">
                  <c:v>147.57895940915884</c:v>
                </c:pt>
                <c:pt idx="23">
                  <c:v>147.78083573172367</c:v>
                </c:pt>
                <c:pt idx="24">
                  <c:v>147.98102757880611</c:v>
                </c:pt>
                <c:pt idx="25">
                  <c:v>148.17952390271685</c:v>
                </c:pt>
                <c:pt idx="26">
                  <c:v>148.37631372054537</c:v>
                </c:pt>
                <c:pt idx="27">
                  <c:v>148.57218100478008</c:v>
                </c:pt>
                <c:pt idx="28">
                  <c:v>148.76630629557008</c:v>
                </c:pt>
                <c:pt idx="29">
                  <c:v>148.95866614969822</c:v>
                </c:pt>
                <c:pt idx="30">
                  <c:v>149.14925159763692</c:v>
                </c:pt>
                <c:pt idx="31">
                  <c:v>149.33805356526176</c:v>
                </c:pt>
                <c:pt idx="32">
                  <c:v>149.52506289828796</c:v>
                </c:pt>
                <c:pt idx="33">
                  <c:v>149.71027038303171</c:v>
                </c:pt>
                <c:pt idx="34">
                  <c:v>149.89366676417899</c:v>
                </c:pt>
                <c:pt idx="35">
                  <c:v>150.0752427601</c:v>
                </c:pt>
                <c:pt idx="36">
                  <c:v>150.25498907613689</c:v>
                </c:pt>
                <c:pt idx="37">
                  <c:v>150.43289641620913</c:v>
                </c:pt>
                <c:pt idx="38">
                  <c:v>150.60895549301173</c:v>
                </c:pt>
                <c:pt idx="39">
                  <c:v>150.78315703703262</c:v>
                </c:pt>
                <c:pt idx="40">
                  <c:v>150.95549180457161</c:v>
                </c:pt>
                <c:pt idx="41">
                  <c:v>151.02333823690898</c:v>
                </c:pt>
                <c:pt idx="42">
                  <c:v>150.98641701347913</c:v>
                </c:pt>
                <c:pt idx="43">
                  <c:v>150.94723018404963</c:v>
                </c:pt>
                <c:pt idx="44">
                  <c:v>150.90577659396178</c:v>
                </c:pt>
                <c:pt idx="45">
                  <c:v>150.86205519943047</c:v>
                </c:pt>
                <c:pt idx="46">
                  <c:v>150.81606507135459</c:v>
                </c:pt>
                <c:pt idx="47">
                  <c:v>150.76780539872831</c:v>
                </c:pt>
                <c:pt idx="48">
                  <c:v>150.71727549170305</c:v>
                </c:pt>
                <c:pt idx="49">
                  <c:v>150.6644747843427</c:v>
                </c:pt>
                <c:pt idx="50">
                  <c:v>150.60940283710767</c:v>
                </c:pt>
                <c:pt idx="51">
                  <c:v>150.55205933909872</c:v>
                </c:pt>
                <c:pt idx="52">
                  <c:v>150.49244411008698</c:v>
                </c:pt>
                <c:pt idx="53">
                  <c:v>150.43055710235302</c:v>
                </c:pt>
                <c:pt idx="54">
                  <c:v>150.36639840235438</c:v>
                </c:pt>
                <c:pt idx="55">
                  <c:v>150.29996823223863</c:v>
                </c:pt>
                <c:pt idx="56">
                  <c:v>150.23126695121701</c:v>
                </c:pt>
                <c:pt idx="57">
                  <c:v>150.16029505681104</c:v>
                </c:pt>
                <c:pt idx="58">
                  <c:v>150.08705318598385</c:v>
                </c:pt>
                <c:pt idx="59">
                  <c:v>150.01154211616563</c:v>
                </c:pt>
                <c:pt idx="60">
                  <c:v>149.93376276618227</c:v>
                </c:pt>
                <c:pt idx="61">
                  <c:v>149.85371619709449</c:v>
                </c:pt>
                <c:pt idx="62">
                  <c:v>149.77140361295454</c:v>
                </c:pt>
                <c:pt idx="63">
                  <c:v>149.68682636148574</c:v>
                </c:pt>
                <c:pt idx="64">
                  <c:v>149.59998593469101</c:v>
                </c:pt>
                <c:pt idx="65">
                  <c:v>149.51088396939434</c:v>
                </c:pt>
                <c:pt idx="66">
                  <c:v>149.41952224771964</c:v>
                </c:pt>
                <c:pt idx="67">
                  <c:v>149.32590269751125</c:v>
                </c:pt>
                <c:pt idx="68">
                  <c:v>149.23002739269779</c:v>
                </c:pt>
                <c:pt idx="69">
                  <c:v>149.1318985536048</c:v>
                </c:pt>
                <c:pt idx="70">
                  <c:v>149.03151854721619</c:v>
                </c:pt>
                <c:pt idx="71">
                  <c:v>148.92888988738909</c:v>
                </c:pt>
                <c:pt idx="72">
                  <c:v>148.82401523502287</c:v>
                </c:pt>
                <c:pt idx="73">
                  <c:v>148.71689739818498</c:v>
                </c:pt>
                <c:pt idx="74">
                  <c:v>148.60753933219519</c:v>
                </c:pt>
                <c:pt idx="75">
                  <c:v>148.49594413966986</c:v>
                </c:pt>
                <c:pt idx="76">
                  <c:v>148.38211507052748</c:v>
                </c:pt>
                <c:pt idx="77">
                  <c:v>148.26605552195738</c:v>
                </c:pt>
                <c:pt idx="78">
                  <c:v>148.14776903835215</c:v>
                </c:pt>
                <c:pt idx="79">
                  <c:v>148.02725931120534</c:v>
                </c:pt>
                <c:pt idx="80">
                  <c:v>147.90453017897551</c:v>
                </c:pt>
                <c:pt idx="81">
                  <c:v>147.67486004985443</c:v>
                </c:pt>
                <c:pt idx="82">
                  <c:v>147.33804006343638</c:v>
                </c:pt>
                <c:pt idx="83">
                  <c:v>146.99876223026956</c:v>
                </c:pt>
                <c:pt idx="84">
                  <c:v>146.65704092957836</c:v>
                </c:pt>
                <c:pt idx="85">
                  <c:v>146.31289069904543</c:v>
                </c:pt>
                <c:pt idx="86">
                  <c:v>145.96632623295986</c:v>
                </c:pt>
                <c:pt idx="87">
                  <c:v>145.61736238033481</c:v>
                </c:pt>
                <c:pt idx="88">
                  <c:v>145.26601414299478</c:v>
                </c:pt>
                <c:pt idx="89">
                  <c:v>144.91229667363385</c:v>
                </c:pt>
                <c:pt idx="90">
                  <c:v>144.55622527384668</c:v>
                </c:pt>
                <c:pt idx="91">
                  <c:v>144.15148258234331</c:v>
                </c:pt>
                <c:pt idx="92">
                  <c:v>143.69799920662138</c:v>
                </c:pt>
                <c:pt idx="93">
                  <c:v>143.24211556631042</c:v>
                </c:pt>
                <c:pt idx="94">
                  <c:v>142.78385233658278</c:v>
                </c:pt>
                <c:pt idx="95">
                  <c:v>142.32323032594164</c:v>
                </c:pt>
                <c:pt idx="96">
                  <c:v>141.8602704732983</c:v>
                </c:pt>
                <c:pt idx="97">
                  <c:v>141.39499384503117</c:v>
                </c:pt>
                <c:pt idx="98">
                  <c:v>140.92742163202777</c:v>
                </c:pt>
                <c:pt idx="99">
                  <c:v>140.45757514671092</c:v>
                </c:pt>
                <c:pt idx="100">
                  <c:v>139.98547582004966</c:v>
                </c:pt>
                <c:pt idx="101">
                  <c:v>139.50372451089194</c:v>
                </c:pt>
                <c:pt idx="102">
                  <c:v>139.01233084810352</c:v>
                </c:pt>
                <c:pt idx="103">
                  <c:v>138.51873737663269</c:v>
                </c:pt>
                <c:pt idx="104">
                  <c:v>138.02296675497561</c:v>
                </c:pt>
                <c:pt idx="105">
                  <c:v>137.52504174304616</c:v>
                </c:pt>
                <c:pt idx="106">
                  <c:v>137.02498519898589</c:v>
                </c:pt>
                <c:pt idx="107">
                  <c:v>136.52282007596736</c:v>
                </c:pt>
                <c:pt idx="108">
                  <c:v>136.01856941899075</c:v>
                </c:pt>
                <c:pt idx="109">
                  <c:v>135.51225636167553</c:v>
                </c:pt>
                <c:pt idx="110">
                  <c:v>135.00390412304745</c:v>
                </c:pt>
                <c:pt idx="111">
                  <c:v>134.57908556163068</c:v>
                </c:pt>
                <c:pt idx="112">
                  <c:v>134.23794487269168</c:v>
                </c:pt>
                <c:pt idx="113">
                  <c:v>133.89493968828847</c:v>
                </c:pt>
                <c:pt idx="114">
                  <c:v>133.55008502331262</c:v>
                </c:pt>
                <c:pt idx="115">
                  <c:v>133.20339598617392</c:v>
                </c:pt>
                <c:pt idx="116">
                  <c:v>132.8548877769046</c:v>
                </c:pt>
                <c:pt idx="117">
                  <c:v>132.50457568525391</c:v>
                </c:pt>
                <c:pt idx="118">
                  <c:v>132.15247508877417</c:v>
                </c:pt>
                <c:pt idx="119">
                  <c:v>131.79860145089847</c:v>
                </c:pt>
                <c:pt idx="120">
                  <c:v>131.44297031901067</c:v>
                </c:pt>
                <c:pt idx="121">
                  <c:v>130.94352180864382</c:v>
                </c:pt>
                <c:pt idx="122">
                  <c:v>130.30009659101427</c:v>
                </c:pt>
                <c:pt idx="123">
                  <c:v>129.65483695054746</c:v>
                </c:pt>
                <c:pt idx="124">
                  <c:v>129.00777320353836</c:v>
                </c:pt>
                <c:pt idx="125">
                  <c:v>128.35893568015518</c:v>
                </c:pt>
                <c:pt idx="126">
                  <c:v>127.70835472023707</c:v>
                </c:pt>
                <c:pt idx="127">
                  <c:v>127.05606066911329</c:v>
                </c:pt>
                <c:pt idx="128">
                  <c:v>126.40208387344538</c:v>
                </c:pt>
                <c:pt idx="129">
                  <c:v>125.74645467709234</c:v>
                </c:pt>
                <c:pt idx="130">
                  <c:v>125.08920341700014</c:v>
                </c:pt>
                <c:pt idx="131">
                  <c:v>124.3931181052928</c:v>
                </c:pt>
                <c:pt idx="132">
                  <c:v>123.65819208180272</c:v>
                </c:pt>
                <c:pt idx="133">
                  <c:v>122.92171877356381</c:v>
                </c:pt>
                <c:pt idx="134">
                  <c:v>122.18373251032514</c:v>
                </c:pt>
                <c:pt idx="135">
                  <c:v>121.44426756781444</c:v>
                </c:pt>
                <c:pt idx="136">
                  <c:v>120.70335816316046</c:v>
                </c:pt>
                <c:pt idx="137">
                  <c:v>119.96103845035785</c:v>
                </c:pt>
                <c:pt idx="138">
                  <c:v>119.21734251577458</c:v>
                </c:pt>
                <c:pt idx="139">
                  <c:v>118.47230437370385</c:v>
                </c:pt>
                <c:pt idx="140">
                  <c:v>117.72595796196043</c:v>
                </c:pt>
                <c:pt idx="141">
                  <c:v>116.53250278444374</c:v>
                </c:pt>
                <c:pt idx="142">
                  <c:v>114.89164746114953</c:v>
                </c:pt>
                <c:pt idx="143">
                  <c:v>113.24960790178028</c:v>
                </c:pt>
                <c:pt idx="144">
                  <c:v>111.60647693098791</c:v>
                </c:pt>
                <c:pt idx="145">
                  <c:v>109.96234665199597</c:v>
                </c:pt>
                <c:pt idx="146">
                  <c:v>108.31730843231726</c:v>
                </c:pt>
                <c:pt idx="147">
                  <c:v>106.67145288984314</c:v>
                </c:pt>
                <c:pt idx="148">
                  <c:v>105.02486987930595</c:v>
                </c:pt>
                <c:pt idx="149">
                  <c:v>103.37764847911481</c:v>
                </c:pt>
                <c:pt idx="150">
                  <c:v>101.72987697856628</c:v>
                </c:pt>
                <c:pt idx="151">
                  <c:v>100.08164286542977</c:v>
                </c:pt>
                <c:pt idx="152">
                  <c:v>98.433032813908653</c:v>
                </c:pt>
                <c:pt idx="153">
                  <c:v>96.784132672976412</c:v>
                </c:pt>
                <c:pt idx="154">
                  <c:v>95.135027455088689</c:v>
                </c:pt>
                <c:pt idx="155">
                  <c:v>93.485801325269961</c:v>
                </c:pt>
                <c:pt idx="156">
                  <c:v>89.721735523857149</c:v>
                </c:pt>
                <c:pt idx="157">
                  <c:v>83.842893480418581</c:v>
                </c:pt>
                <c:pt idx="158">
                  <c:v>77.966972426002826</c:v>
                </c:pt>
                <c:pt idx="159">
                  <c:v>72.094611082199393</c:v>
                </c:pt>
                <c:pt idx="160">
                  <c:v>66.226436656678487</c:v>
                </c:pt>
                <c:pt idx="161">
                  <c:v>57.673365603468866</c:v>
                </c:pt>
                <c:pt idx="162">
                  <c:v>46.438172847011543</c:v>
                </c:pt>
                <c:pt idx="163">
                  <c:v>35.472812874145859</c:v>
                </c:pt>
                <c:pt idx="164">
                  <c:v>24.778905761575921</c:v>
                </c:pt>
                <c:pt idx="165">
                  <c:v>16.671132894338875</c:v>
                </c:pt>
                <c:pt idx="166">
                  <c:v>11.146946586184132</c:v>
                </c:pt>
                <c:pt idx="167">
                  <c:v>3.6783607809648462</c:v>
                </c:pt>
                <c:pt idx="168">
                  <c:v>-4.3169296132192034</c:v>
                </c:pt>
                <c:pt idx="169">
                  <c:v>-16.331887199605973</c:v>
                </c:pt>
                <c:pt idx="170">
                  <c:v>-29.528816142051081</c:v>
                </c:pt>
                <c:pt idx="171">
                  <c:v>-33.956279172414462</c:v>
                </c:pt>
                <c:pt idx="172">
                  <c:v>-33.875362623291942</c:v>
                </c:pt>
                <c:pt idx="173">
                  <c:v>-33.794784159058153</c:v>
                </c:pt>
                <c:pt idx="174">
                  <c:v>-33.71454189162354</c:v>
                </c:pt>
                <c:pt idx="175">
                  <c:v>-33.634633946152327</c:v>
                </c:pt>
                <c:pt idx="176">
                  <c:v>-33.55505846095042</c:v>
                </c:pt>
                <c:pt idx="177">
                  <c:v>-33.475813587354473</c:v>
                </c:pt>
                <c:pt idx="178">
                  <c:v>-33.396897489622027</c:v>
                </c:pt>
                <c:pt idx="179">
                  <c:v>-33.31830834482281</c:v>
                </c:pt>
                <c:pt idx="180">
                  <c:v>-33.240044342730876</c:v>
                </c:pt>
                <c:pt idx="181">
                  <c:v>-33.162103685718094</c:v>
                </c:pt>
                <c:pt idx="182">
                  <c:v>-33.084484588648543</c:v>
                </c:pt>
                <c:pt idx="183">
                  <c:v>-33.007185278773832</c:v>
                </c:pt>
                <c:pt idx="184">
                  <c:v>-32.930203995629682</c:v>
                </c:pt>
                <c:pt idx="185">
                  <c:v>-32.853538990933323</c:v>
                </c:pt>
                <c:pt idx="186">
                  <c:v>-32.777188528481972</c:v>
                </c:pt>
                <c:pt idx="187">
                  <c:v>-32.701150884052289</c:v>
                </c:pt>
                <c:pt idx="188">
                  <c:v>-32.625424345300814</c:v>
                </c:pt>
                <c:pt idx="189">
                  <c:v>-32.55000721166536</c:v>
                </c:pt>
                <c:pt idx="190">
                  <c:v>-32.47489779426737</c:v>
                </c:pt>
                <c:pt idx="191">
                  <c:v>-32.400094415815204</c:v>
                </c:pt>
                <c:pt idx="192">
                  <c:v>-32.325595410508399</c:v>
                </c:pt>
                <c:pt idx="193">
                  <c:v>-32.251399123942782</c:v>
                </c:pt>
                <c:pt idx="194">
                  <c:v>-32.177503913016608</c:v>
                </c:pt>
                <c:pt idx="195">
                  <c:v>-32.103908145837465</c:v>
                </c:pt>
                <c:pt idx="196">
                  <c:v>-32.030610201630189</c:v>
                </c:pt>
                <c:pt idx="197">
                  <c:v>-31.957608470645646</c:v>
                </c:pt>
                <c:pt idx="198">
                  <c:v>-31.884901354070248</c:v>
                </c:pt>
                <c:pt idx="199">
                  <c:v>-31.812487263936589</c:v>
                </c:pt>
                <c:pt idx="200">
                  <c:v>-31.740364623034719</c:v>
                </c:pt>
                <c:pt idx="201">
                  <c:v>-31.668531864824317</c:v>
                </c:pt>
                <c:pt idx="202">
                  <c:v>-30.959205452504484</c:v>
                </c:pt>
                <c:pt idx="203">
                  <c:v>-30.277838450354121</c:v>
                </c:pt>
                <c:pt idx="204">
                  <c:v>-29.622973374657541</c:v>
                </c:pt>
                <c:pt idx="205">
                  <c:v>-28.993247264040306</c:v>
                </c:pt>
                <c:pt idx="206">
                  <c:v>-28.387384366418608</c:v>
                </c:pt>
                <c:pt idx="207">
                  <c:v>-27.804189479734102</c:v>
                </c:pt>
                <c:pt idx="208">
                  <c:v>-27.242541880265232</c:v>
                </c:pt>
                <c:pt idx="209">
                  <c:v>-26.701389779771883</c:v>
                </c:pt>
                <c:pt idx="210">
                  <c:v>-26.179745259269794</c:v>
                </c:pt>
                <c:pt idx="211">
                  <c:v>-25.676679632969687</c:v>
                </c:pt>
                <c:pt idx="212">
                  <c:v>-25.191319200960912</c:v>
                </c:pt>
                <c:pt idx="213">
                  <c:v>-24.722841353660762</c:v>
                </c:pt>
                <c:pt idx="214">
                  <c:v>-24.27047099496842</c:v>
                </c:pt>
                <c:pt idx="215">
                  <c:v>-23.833477254522847</c:v>
                </c:pt>
                <c:pt idx="216">
                  <c:v>-23.411170462525313</c:v>
                </c:pt>
                <c:pt idx="217">
                  <c:v>-23.00289936330034</c:v>
                </c:pt>
                <c:pt idx="218">
                  <c:v>-22.608048546175816</c:v>
                </c:pt>
                <c:pt idx="219">
                  <c:v>-22.22603607440206</c:v>
                </c:pt>
                <c:pt idx="220">
                  <c:v>-21.856311294733516</c:v>
                </c:pt>
                <c:pt idx="221">
                  <c:v>-21.498352811992497</c:v>
                </c:pt>
                <c:pt idx="222">
                  <c:v>-21.151666614448331</c:v>
                </c:pt>
                <c:pt idx="223">
                  <c:v>-20.81578433719725</c:v>
                </c:pt>
                <c:pt idx="224">
                  <c:v>-20.490261651937971</c:v>
                </c:pt>
                <c:pt idx="225">
                  <c:v>-20.174676772621332</c:v>
                </c:pt>
                <c:pt idx="226">
                  <c:v>-19.868629067423807</c:v>
                </c:pt>
                <c:pt idx="227">
                  <c:v>-19.571737768366944</c:v>
                </c:pt>
                <c:pt idx="228">
                  <c:v>-19.2836407706884</c:v>
                </c:pt>
                <c:pt idx="229">
                  <c:v>-19.003993514775786</c:v>
                </c:pt>
                <c:pt idx="230">
                  <c:v>-18.732467944109537</c:v>
                </c:pt>
                <c:pt idx="231">
                  <c:v>-18.468751533233728</c:v>
                </c:pt>
                <c:pt idx="232">
                  <c:v>-18.212546380290824</c:v>
                </c:pt>
                <c:pt idx="233">
                  <c:v>-17.963568359122981</c:v>
                </c:pt>
                <c:pt idx="234">
                  <c:v>-17.721546326364802</c:v>
                </c:pt>
                <c:pt idx="235">
                  <c:v>-17.486221379334435</c:v>
                </c:pt>
                <c:pt idx="236">
                  <c:v>-17.257346160875727</c:v>
                </c:pt>
                <c:pt idx="237">
                  <c:v>-17.034684207617872</c:v>
                </c:pt>
                <c:pt idx="238">
                  <c:v>-16.818009338403066</c:v>
                </c:pt>
                <c:pt idx="239">
                  <c:v>-16.6071050798909</c:v>
                </c:pt>
                <c:pt idx="240">
                  <c:v>-16.401764126582389</c:v>
                </c:pt>
                <c:pt idx="241">
                  <c:v>-16.201787832719312</c:v>
                </c:pt>
                <c:pt idx="242">
                  <c:v>-16.006985733707864</c:v>
                </c:pt>
                <c:pt idx="243">
                  <c:v>-15.817175094891361</c:v>
                </c:pt>
                <c:pt idx="244">
                  <c:v>-15.632180485656292</c:v>
                </c:pt>
                <c:pt idx="245">
                  <c:v>-15.451833377001247</c:v>
                </c:pt>
                <c:pt idx="246">
                  <c:v>-15.275971760829922</c:v>
                </c:pt>
                <c:pt idx="247">
                  <c:v>-15.104439789349108</c:v>
                </c:pt>
                <c:pt idx="248">
                  <c:v>-14.937087433061119</c:v>
                </c:pt>
                <c:pt idx="249">
                  <c:v>-14.773770155938365</c:v>
                </c:pt>
                <c:pt idx="250">
                  <c:v>-14.614348606456778</c:v>
                </c:pt>
                <c:pt idx="251">
                  <c:v>-14.458688323244949</c:v>
                </c:pt>
                <c:pt idx="252">
                  <c:v>-14.306659454178094</c:v>
                </c:pt>
                <c:pt idx="253">
                  <c:v>-14.158136487810587</c:v>
                </c:pt>
                <c:pt idx="254">
                  <c:v>-14.012997996098608</c:v>
                </c:pt>
                <c:pt idx="255">
                  <c:v>-13.871126387415423</c:v>
                </c:pt>
                <c:pt idx="256">
                  <c:v>-13.732407668906916</c:v>
                </c:pt>
                <c:pt idx="257">
                  <c:v>-13.596731217273863</c:v>
                </c:pt>
                <c:pt idx="258">
                  <c:v>-13.463989557100977</c:v>
                </c:pt>
                <c:pt idx="259">
                  <c:v>-13.334078145880623</c:v>
                </c:pt>
                <c:pt idx="260">
                  <c:v>-13.206895164901979</c:v>
                </c:pt>
                <c:pt idx="261">
                  <c:v>-13.082341315193823</c:v>
                </c:pt>
                <c:pt idx="262">
                  <c:v>-12.960319617721986</c:v>
                </c:pt>
                <c:pt idx="263">
                  <c:v>-12.840735217049762</c:v>
                </c:pt>
                <c:pt idx="264">
                  <c:v>-12.723495187672443</c:v>
                </c:pt>
                <c:pt idx="265">
                  <c:v>-12.608508342234341</c:v>
                </c:pt>
                <c:pt idx="266">
                  <c:v>-12.495685040829382</c:v>
                </c:pt>
                <c:pt idx="267">
                  <c:v>-12.384937000573304</c:v>
                </c:pt>
                <c:pt idx="268">
                  <c:v>-12.276177104617343</c:v>
                </c:pt>
                <c:pt idx="269">
                  <c:v>-12.169319209749554</c:v>
                </c:pt>
                <c:pt idx="270">
                  <c:v>-12.064277951700234</c:v>
                </c:pt>
                <c:pt idx="271">
                  <c:v>-11.960968547232326</c:v>
                </c:pt>
                <c:pt idx="272">
                  <c:v>-11.859306592055706</c:v>
                </c:pt>
                <c:pt idx="273">
                  <c:v>-11.759207853555518</c:v>
                </c:pt>
                <c:pt idx="274">
                  <c:v>-11.660588057269184</c:v>
                </c:pt>
                <c:pt idx="275">
                  <c:v>-11.563362665983574</c:v>
                </c:pt>
                <c:pt idx="276">
                  <c:v>-11.467446650253164</c:v>
                </c:pt>
                <c:pt idx="277">
                  <c:v>-11.372754249061066</c:v>
                </c:pt>
                <c:pt idx="278">
                  <c:v>-11.279198719257609</c:v>
                </c:pt>
                <c:pt idx="279">
                  <c:v>-11.186692072315054</c:v>
                </c:pt>
                <c:pt idx="280">
                  <c:v>-11.095144796831988</c:v>
                </c:pt>
                <c:pt idx="281">
                  <c:v>-11.004465565106891</c:v>
                </c:pt>
                <c:pt idx="282">
                  <c:v>-10.914560921977019</c:v>
                </c:pt>
                <c:pt idx="283">
                  <c:v>-10.825334953986813</c:v>
                </c:pt>
                <c:pt idx="284">
                  <c:v>-10.736688936809525</c:v>
                </c:pt>
                <c:pt idx="285">
                  <c:v>-10.64852095869797</c:v>
                </c:pt>
                <c:pt idx="286">
                  <c:v>-10.560725517586649</c:v>
                </c:pt>
                <c:pt idx="287">
                  <c:v>-10.473193089309724</c:v>
                </c:pt>
                <c:pt idx="288">
                  <c:v>-10.385809664241084</c:v>
                </c:pt>
                <c:pt idx="289">
                  <c:v>-10.298456249507446</c:v>
                </c:pt>
                <c:pt idx="290">
                  <c:v>-10.21100833377943</c:v>
                </c:pt>
                <c:pt idx="291">
                  <c:v>-10.123335311515687</c:v>
                </c:pt>
                <c:pt idx="292">
                  <c:v>-10.035299863431504</c:v>
                </c:pt>
                <c:pt idx="293">
                  <c:v>-9.9467572898988745</c:v>
                </c:pt>
                <c:pt idx="294">
                  <c:v>-9.8575547939755968</c:v>
                </c:pt>
                <c:pt idx="295">
                  <c:v>-9.7675307108284812</c:v>
                </c:pt>
                <c:pt idx="296">
                  <c:v>-9.6765136804861704</c:v>
                </c:pt>
                <c:pt idx="297">
                  <c:v>-9.5843217611648903</c:v>
                </c:pt>
                <c:pt idx="298">
                  <c:v>-9.4907614808974863</c:v>
                </c:pt>
                <c:pt idx="299">
                  <c:v>-9.39562682591575</c:v>
                </c:pt>
                <c:pt idx="300">
                  <c:v>-9.2986981652532155</c:v>
                </c:pt>
                <c:pt idx="301">
                  <c:v>-9.1997411124311785</c:v>
                </c:pt>
                <c:pt idx="302">
                  <c:v>-9.0985053269623339</c:v>
                </c:pt>
                <c:pt idx="303">
                  <c:v>-8.994723260872993</c:v>
                </c:pt>
                <c:pt idx="304">
                  <c:v>-8.8881088586480104</c:v>
                </c:pt>
                <c:pt idx="305">
                  <c:v>-8.7783562231099914</c:v>
                </c:pt>
                <c:pt idx="306">
                  <c:v>-8.6651382649517021</c:v>
                </c:pt>
                <c:pt idx="307">
                  <c:v>-8.5481053601710855</c:v>
                </c:pt>
                <c:pt idx="308">
                  <c:v>-8.426884047762</c:v>
                </c:pt>
                <c:pt idx="309">
                  <c:v>-8.301075809961274</c:v>
                </c:pt>
                <c:pt idx="310">
                  <c:v>-8.1702559894235698</c:v>
                </c:pt>
                <c:pt idx="311">
                  <c:v>-8.0339729121602907</c:v>
                </c:pt>
                <c:pt idx="312">
                  <c:v>-7.891747302166201</c:v>
                </c:pt>
                <c:pt idx="313">
                  <c:v>-7.7430720935099036</c:v>
                </c:pt>
                <c:pt idx="314">
                  <c:v>-7.5874127682705241</c:v>
                </c:pt>
                <c:pt idx="315">
                  <c:v>-7.4242083738065432</c:v>
                </c:pt>
                <c:pt idx="316">
                  <c:v>-7.2528733998218948</c:v>
                </c:pt>
                <c:pt idx="317">
                  <c:v>-7.0728007234075791</c:v>
                </c:pt>
                <c:pt idx="318">
                  <c:v>-6.8833658568398217</c:v>
                </c:pt>
                <c:pt idx="319">
                  <c:v>-6.6839327556540074</c:v>
                </c:pt>
                <c:pt idx="320">
                  <c:v>-6.4738614595163462</c:v>
                </c:pt>
                <c:pt idx="321">
                  <c:v>-6.2525178405238506</c:v>
                </c:pt>
                <c:pt idx="322">
                  <c:v>-6.0192857162599669</c:v>
                </c:pt>
                <c:pt idx="323">
                  <c:v>-5.7735815404571253</c:v>
                </c:pt>
                <c:pt idx="324">
                  <c:v>-5.5148718038864022</c:v>
                </c:pt>
                <c:pt idx="325">
                  <c:v>-5.242693153566429</c:v>
                </c:pt>
                <c:pt idx="326">
                  <c:v>-4.9566750624847122</c:v>
                </c:pt>
                <c:pt idx="327">
                  <c:v>-4.6565646512156151</c:v>
                </c:pt>
                <c:pt idx="328">
                  <c:v>-4.3422529797435443</c:v>
                </c:pt>
                <c:pt idx="329">
                  <c:v>-4.0138018042458965</c:v>
                </c:pt>
                <c:pt idx="330">
                  <c:v>-3.6714694531988088</c:v>
                </c:pt>
                <c:pt idx="331">
                  <c:v>-3.3157341569940049</c:v>
                </c:pt>
                <c:pt idx="332">
                  <c:v>-2.9473129150325219</c:v>
                </c:pt>
                <c:pt idx="333">
                  <c:v>-2.5671738622399611</c:v>
                </c:pt>
                <c:pt idx="334">
                  <c:v>-2.1765401615827833</c:v>
                </c:pt>
                <c:pt idx="335">
                  <c:v>-1.7768837469624719</c:v>
                </c:pt>
                <c:pt idx="336">
                  <c:v>-1.3699077921623504</c:v>
                </c:pt>
                <c:pt idx="337">
                  <c:v>-0.95751756757134032</c:v>
                </c:pt>
                <c:pt idx="338">
                  <c:v>-0.54178030215506712</c:v>
                </c:pt>
                <c:pt idx="339">
                  <c:v>-0.12487568482241646</c:v>
                </c:pt>
                <c:pt idx="340">
                  <c:v>0.29096042105772796</c:v>
                </c:pt>
                <c:pt idx="341">
                  <c:v>0.70349575608544912</c:v>
                </c:pt>
                <c:pt idx="342">
                  <c:v>1.1105612585749658</c:v>
                </c:pt>
                <c:pt idx="343">
                  <c:v>1.5101068135675884</c:v>
                </c:pt>
                <c:pt idx="344">
                  <c:v>1.9002499132567652</c:v>
                </c:pt>
                <c:pt idx="345">
                  <c:v>2.2793147301019623</c:v>
                </c:pt>
                <c:pt idx="346">
                  <c:v>2.6458600578427438</c:v>
                </c:pt>
                <c:pt idx="347">
                  <c:v>2.9986955949690177</c:v>
                </c:pt>
                <c:pt idx="348">
                  <c:v>3.3368869930724872</c:v>
                </c:pt>
                <c:pt idx="349">
                  <c:v>3.6597508628329578</c:v>
                </c:pt>
                <c:pt idx="350">
                  <c:v>3.9668414615997127</c:v>
                </c:pt>
                <c:pt idx="351">
                  <c:v>4.257931063296307</c:v>
                </c:pt>
                <c:pt idx="352">
                  <c:v>4.5329860568252762</c:v>
                </c:pt>
                <c:pt idx="353">
                  <c:v>4.7921406815958392</c:v>
                </c:pt>
                <c:pt idx="354">
                  <c:v>5.0356700475084439</c:v>
                </c:pt>
                <c:pt idx="355">
                  <c:v>5.2639637599339055</c:v>
                </c:pt>
                <c:pt idx="356">
                  <c:v>5.4775011270721157</c:v>
                </c:pt>
                <c:pt idx="357">
                  <c:v>5.6768286037442124</c:v>
                </c:pt>
                <c:pt idx="358">
                  <c:v>5.8625398448619208</c:v>
                </c:pt>
                <c:pt idx="359">
                  <c:v>6.0352585144613924</c:v>
                </c:pt>
                <c:pt idx="360">
                  <c:v>6.1956238242411059</c:v>
                </c:pt>
                <c:pt idx="361">
                  <c:v>6.3442786549669306</c:v>
                </c:pt>
                <c:pt idx="362">
                  <c:v>6.4818600375089463</c:v>
                </c:pt>
                <c:pt idx="363">
                  <c:v>6.6089917289382969</c:v>
                </c:pt>
                <c:pt idx="364">
                  <c:v>6.7262786043911014</c:v>
                </c:pt>
                <c:pt idx="365">
                  <c:v>6.8343025895468195</c:v>
                </c:pt>
                <c:pt idx="366">
                  <c:v>6.9336198751036111</c:v>
                </c:pt>
                <c:pt idx="367">
                  <c:v>7.0247591784762147</c:v>
                </c:pt>
                <c:pt idx="368">
                  <c:v>7.1082208453003339</c:v>
                </c:pt>
                <c:pt idx="369">
                  <c:v>7.1844766115214975</c:v>
                </c:pt>
                <c:pt idx="370">
                  <c:v>7.2539698740983267</c:v>
                </c:pt>
                <c:pt idx="371">
                  <c:v>7.3171163435743205</c:v>
                </c:pt>
                <c:pt idx="372">
                  <c:v>7.3743049743921034</c:v>
                </c:pt>
                <c:pt idx="373">
                  <c:v>7.425899088618543</c:v>
                </c:pt>
                <c:pt idx="374">
                  <c:v>7.4722376257337748</c:v>
                </c:pt>
                <c:pt idx="375">
                  <c:v>7.5136364654737919</c:v>
                </c:pt>
                <c:pt idx="376">
                  <c:v>7.5503897826479296</c:v>
                </c:pt>
                <c:pt idx="377">
                  <c:v>7.582771402659084</c:v>
                </c:pt>
                <c:pt idx="378">
                  <c:v>7.6110361344218109</c:v>
                </c:pt>
                <c:pt idx="379">
                  <c:v>7.6354210637763007</c:v>
                </c:pt>
                <c:pt idx="380">
                  <c:v>7.6561467955859861</c:v>
                </c:pt>
                <c:pt idx="381">
                  <c:v>7.6734186367084716</c:v>
                </c:pt>
                <c:pt idx="382">
                  <c:v>7.6874277151381092</c:v>
                </c:pt>
                <c:pt idx="383">
                  <c:v>7.6983520330019317</c:v>
                </c:pt>
                <c:pt idx="384">
                  <c:v>7.7063574528895247</c:v>
                </c:pt>
                <c:pt idx="385">
                  <c:v>7.7115986183292549</c:v>
                </c:pt>
                <c:pt idx="386">
                  <c:v>7.7142198101855435</c:v>
                </c:pt>
                <c:pt idx="387">
                  <c:v>7.7143557414236419</c:v>
                </c:pt>
                <c:pt idx="388">
                  <c:v>7.7121322931342835</c:v>
                </c:pt>
                <c:pt idx="389">
                  <c:v>7.7076671949826938</c:v>
                </c:pt>
                <c:pt idx="390">
                  <c:v>7.7010706533860116</c:v>
                </c:pt>
                <c:pt idx="391">
                  <c:v>7.6924459307638209</c:v>
                </c:pt>
                <c:pt idx="392">
                  <c:v>7.6818898791738075</c:v>
                </c:pt>
                <c:pt idx="393">
                  <c:v>7.669493431559478</c:v>
                </c:pt>
                <c:pt idx="394">
                  <c:v>7.6553420537151169</c:v>
                </c:pt>
                <c:pt idx="395">
                  <c:v>7.6395161599271741</c:v>
                </c:pt>
                <c:pt idx="396">
                  <c:v>7.6220914950905154</c:v>
                </c:pt>
                <c:pt idx="397">
                  <c:v>7.6031394859294235</c:v>
                </c:pt>
                <c:pt idx="398">
                  <c:v>7.5827275637824947</c:v>
                </c:pt>
                <c:pt idx="399">
                  <c:v>7.5609194612412614</c:v>
                </c:pt>
                <c:pt idx="400">
                  <c:v>7.5377754847674989</c:v>
                </c:pt>
                <c:pt idx="401">
                  <c:v>7.5133527652555472</c:v>
                </c:pt>
                <c:pt idx="402">
                  <c:v>7.4877054883549548</c:v>
                </c:pt>
                <c:pt idx="403">
                  <c:v>7.4608851062260602</c:v>
                </c:pt>
                <c:pt idx="404">
                  <c:v>7.4329405322671702</c:v>
                </c:pt>
                <c:pt idx="405">
                  <c:v>7.4039183202269783</c:v>
                </c:pt>
                <c:pt idx="406">
                  <c:v>7.3738628289994645</c:v>
                </c:pt>
                <c:pt idx="407">
                  <c:v>7.3428163742908596</c:v>
                </c:pt>
                <c:pt idx="408">
                  <c:v>7.3108193682486409</c:v>
                </c:pt>
                <c:pt idx="409">
                  <c:v>7.2779104480507728</c:v>
                </c:pt>
                <c:pt idx="410">
                  <c:v>7.2441265943690851</c:v>
                </c:pt>
                <c:pt idx="411">
                  <c:v>7.2095032405430555</c:v>
                </c:pt>
                <c:pt idx="412">
                  <c:v>7.1740743732293755</c:v>
                </c:pt>
                <c:pt idx="413">
                  <c:v>7.1378726252274287</c:v>
                </c:pt>
                <c:pt idx="414">
                  <c:v>7.1009293611214268</c:v>
                </c:pt>
                <c:pt idx="415">
                  <c:v>7.0632747563253186</c:v>
                </c:pt>
                <c:pt idx="416">
                  <c:v>7.0249378700669691</c:v>
                </c:pt>
                <c:pt idx="417">
                  <c:v>6.9859467128025736</c:v>
                </c:pt>
                <c:pt idx="418">
                  <c:v>6.9463283085107363</c:v>
                </c:pt>
                <c:pt idx="419">
                  <c:v>6.9061087522778539</c:v>
                </c:pt>
                <c:pt idx="420">
                  <c:v>6.8653132635516929</c:v>
                </c:pt>
                <c:pt idx="421">
                  <c:v>6.823966235408645</c:v>
                </c:pt>
                <c:pt idx="422">
                  <c:v>6.7820912801511692</c:v>
                </c:pt>
                <c:pt idx="423">
                  <c:v>6.7397112715257181</c:v>
                </c:pt>
                <c:pt idx="424">
                  <c:v>6.6968483838273514</c:v>
                </c:pt>
                <c:pt idx="425">
                  <c:v>6.6535241281353983</c:v>
                </c:pt>
                <c:pt idx="426">
                  <c:v>6.6097593859043382</c:v>
                </c:pt>
                <c:pt idx="427">
                  <c:v>6.5655744401159399</c:v>
                </c:pt>
                <c:pt idx="428">
                  <c:v>6.5209890041818142</c:v>
                </c:pt>
                <c:pt idx="429">
                  <c:v>6.4760222487703363</c:v>
                </c:pt>
                <c:pt idx="430">
                  <c:v>6.4306928267178405</c:v>
                </c:pt>
                <c:pt idx="431">
                  <c:v>6.3850188961712675</c:v>
                </c:pt>
                <c:pt idx="432">
                  <c:v>6.3390181420976059</c:v>
                </c:pt>
                <c:pt idx="433">
                  <c:v>6.2927077962848603</c:v>
                </c:pt>
                <c:pt idx="434">
                  <c:v>6.2461046559494235</c:v>
                </c:pt>
                <c:pt idx="435">
                  <c:v>6.1992251010556227</c:v>
                </c:pt>
                <c:pt idx="436">
                  <c:v>6.1520851104451122</c:v>
                </c:pt>
                <c:pt idx="437">
                  <c:v>6.1047002768660645</c:v>
                </c:pt>
                <c:pt idx="438">
                  <c:v>6.0570858209852485</c:v>
                </c:pt>
                <c:pt idx="439">
                  <c:v>6.0092566044596332</c:v>
                </c:pt>
                <c:pt idx="440">
                  <c:v>5.9612271421383518</c:v>
                </c:pt>
                <c:pt idx="441">
                  <c:v>5.9130116134603963</c:v>
                </c:pt>
                <c:pt idx="442">
                  <c:v>5.8646238731084956</c:v>
                </c:pt>
                <c:pt idx="443">
                  <c:v>5.8160774609750652</c:v>
                </c:pt>
                <c:pt idx="444">
                  <c:v>5.7673856114918971</c:v>
                </c:pt>
                <c:pt idx="445">
                  <c:v>5.7185612623713649</c:v>
                </c:pt>
                <c:pt idx="446">
                  <c:v>5.6696170628034217</c:v>
                </c:pt>
                <c:pt idx="447">
                  <c:v>5.6205653811492997</c:v>
                </c:pt>
                <c:pt idx="448">
                  <c:v>5.5714183121698158</c:v>
                </c:pt>
                <c:pt idx="449">
                  <c:v>5.5221876838233976</c:v>
                </c:pt>
                <c:pt idx="450">
                  <c:v>5.472885063666344</c:v>
                </c:pt>
                <c:pt idx="451">
                  <c:v>5.4235217648854501</c:v>
                </c:pt>
                <c:pt idx="452">
                  <c:v>5.374108851990858</c:v>
                </c:pt>
                <c:pt idx="453">
                  <c:v>5.3246571461950909</c:v>
                </c:pt>
                <c:pt idx="454">
                  <c:v>5.2751772305021527</c:v>
                </c:pt>
                <c:pt idx="455">
                  <c:v>5.2256794545289589</c:v>
                </c:pt>
                <c:pt idx="456">
                  <c:v>5.176173939079713</c:v>
                </c:pt>
                <c:pt idx="457">
                  <c:v>5.1266705804922914</c:v>
                </c:pt>
                <c:pt idx="458">
                  <c:v>5.0771790547743594</c:v>
                </c:pt>
                <c:pt idx="459">
                  <c:v>5.0277088215455956</c:v>
                </c:pt>
                <c:pt idx="460">
                  <c:v>4.9782691278013012</c:v>
                </c:pt>
                <c:pt idx="461">
                  <c:v>4.9288690115114129</c:v>
                </c:pt>
                <c:pt idx="462">
                  <c:v>4.8795173050680303</c:v>
                </c:pt>
                <c:pt idx="463">
                  <c:v>4.8302226385935514</c:v>
                </c:pt>
                <c:pt idx="464">
                  <c:v>4.7809934431205781</c:v>
                </c:pt>
                <c:pt idx="465">
                  <c:v>4.7318379536541029</c:v>
                </c:pt>
                <c:pt idx="466">
                  <c:v>4.6827642121253774</c:v>
                </c:pt>
                <c:pt idx="467">
                  <c:v>4.6337800702465737</c:v>
                </c:pt>
                <c:pt idx="468">
                  <c:v>4.5848931922742935</c:v>
                </c:pt>
                <c:pt idx="469">
                  <c:v>4.53611105768963</c:v>
                </c:pt>
                <c:pt idx="470">
                  <c:v>4.4874409638017489</c:v>
                </c:pt>
                <c:pt idx="471">
                  <c:v>4.4388900282815182</c:v>
                </c:pt>
                <c:pt idx="472">
                  <c:v>4.3904651916311144</c:v>
                </c:pt>
                <c:pt idx="473">
                  <c:v>4.3421732195951979</c:v>
                </c:pt>
                <c:pt idx="474">
                  <c:v>4.2940207055186734</c:v>
                </c:pt>
                <c:pt idx="475">
                  <c:v>4.2460140726557478</c:v>
                </c:pt>
                <c:pt idx="476">
                  <c:v>4.1981595764346009</c:v>
                </c:pt>
                <c:pt idx="477">
                  <c:v>4.1504633066815542</c:v>
                </c:pt>
                <c:pt idx="478">
                  <c:v>4.1029311898084488</c:v>
                </c:pt>
                <c:pt idx="479">
                  <c:v>4.0555689909665009</c:v>
                </c:pt>
                <c:pt idx="480">
                  <c:v>4.0083823161696301</c:v>
                </c:pt>
                <c:pt idx="481">
                  <c:v>3.9613766143901401</c:v>
                </c:pt>
                <c:pt idx="482">
                  <c:v>3.9145571796291634</c:v>
                </c:pt>
                <c:pt idx="483">
                  <c:v>3.8679291529642139</c:v>
                </c:pt>
                <c:pt idx="484">
                  <c:v>3.8214975245759399</c:v>
                </c:pt>
                <c:pt idx="485">
                  <c:v>3.7752671357559402</c:v>
                </c:pt>
                <c:pt idx="486">
                  <c:v>3.729242680897336</c:v>
                </c:pt>
                <c:pt idx="487">
                  <c:v>3.6834287094696361</c:v>
                </c:pt>
                <c:pt idx="488">
                  <c:v>3.637829627979249</c:v>
                </c:pt>
                <c:pt idx="489">
                  <c:v>3.5924497019169186</c:v>
                </c:pt>
                <c:pt idx="490">
                  <c:v>3.5472930576930226</c:v>
                </c:pt>
                <c:pt idx="491">
                  <c:v>3.5023636845618995</c:v>
                </c:pt>
                <c:pt idx="492">
                  <c:v>3.4576654365357964</c:v>
                </c:pt>
                <c:pt idx="493">
                  <c:v>3.4132020342894078</c:v>
                </c:pt>
                <c:pt idx="494">
                  <c:v>3.3689770670553987</c:v>
                </c:pt>
                <c:pt idx="495">
                  <c:v>3.3249939945116687</c:v>
                </c:pt>
                <c:pt idx="496">
                  <c:v>3.2812561486605727</c:v>
                </c:pt>
                <c:pt idx="497">
                  <c:v>3.2377667357006858</c:v>
                </c:pt>
                <c:pt idx="498">
                  <c:v>3.1945288378911956</c:v>
                </c:pt>
                <c:pt idx="499">
                  <c:v>3.1515454154093625</c:v>
                </c:pt>
                <c:pt idx="500">
                  <c:v>3.108819308200987</c:v>
                </c:pt>
                <c:pt idx="501">
                  <c:v>3.0663532378241865</c:v>
                </c:pt>
                <c:pt idx="502">
                  <c:v>3.0241498092863832</c:v>
                </c:pt>
                <c:pt idx="503">
                  <c:v>2.9822115128746427</c:v>
                </c:pt>
                <c:pt idx="504">
                  <c:v>2.9405407259792096</c:v>
                </c:pt>
                <c:pt idx="505">
                  <c:v>2.8991397149102376</c:v>
                </c:pt>
                <c:pt idx="506">
                  <c:v>2.858010636707613</c:v>
                </c:pt>
                <c:pt idx="507">
                  <c:v>2.8171555409436637</c:v>
                </c:pt>
                <c:pt idx="508">
                  <c:v>2.7765763715186456</c:v>
                </c:pt>
                <c:pt idx="509">
                  <c:v>2.7362749684487939</c:v>
                </c:pt>
                <c:pt idx="510">
                  <c:v>2.6962530696467137</c:v>
                </c:pt>
                <c:pt idx="511">
                  <c:v>2.656512312693895</c:v>
                </c:pt>
                <c:pt idx="512">
                  <c:v>2.6170542366050533</c:v>
                </c:pt>
                <c:pt idx="513">
                  <c:v>2.577880283584105</c:v>
                </c:pt>
                <c:pt idx="514">
                  <c:v>2.5389918007714085</c:v>
                </c:pt>
                <c:pt idx="515">
                  <c:v>2.5003900419820608</c:v>
                </c:pt>
                <c:pt idx="516">
                  <c:v>2.4620761694348703</c:v>
                </c:pt>
                <c:pt idx="517">
                  <c:v>2.424051255471797</c:v>
                </c:pt>
                <c:pt idx="518">
                  <c:v>2.3863162842674326</c:v>
                </c:pt>
                <c:pt idx="519">
                  <c:v>2.3488721535283084</c:v>
                </c:pt>
                <c:pt idx="520">
                  <c:v>2.3117196761816681</c:v>
                </c:pt>
                <c:pt idx="521">
                  <c:v>2.2748595820533595</c:v>
                </c:pt>
                <c:pt idx="522">
                  <c:v>2.2382925195346077</c:v>
                </c:pt>
                <c:pt idx="523">
                  <c:v>2.2020190572372496</c:v>
                </c:pt>
                <c:pt idx="524">
                  <c:v>2.1660396856372159</c:v>
                </c:pt>
                <c:pt idx="525">
                  <c:v>2.1303548187058787</c:v>
                </c:pt>
                <c:pt idx="526">
                  <c:v>2.0949647955290001</c:v>
                </c:pt>
                <c:pt idx="527">
                  <c:v>2.0598698819129382</c:v>
                </c:pt>
                <c:pt idx="528">
                  <c:v>2.0250702719778824</c:v>
                </c:pt>
                <c:pt idx="529">
                  <c:v>2.0250358423259458</c:v>
                </c:pt>
                <c:pt idx="530">
                  <c:v>2.0250014129661826</c:v>
                </c:pt>
                <c:pt idx="531">
                  <c:v>2.0249669838985902</c:v>
                </c:pt>
                <c:pt idx="532">
                  <c:v>2.0249325551231712</c:v>
                </c:pt>
                <c:pt idx="533">
                  <c:v>2.0248981266399291</c:v>
                </c:pt>
                <c:pt idx="534">
                  <c:v>2.0248636984488559</c:v>
                </c:pt>
                <c:pt idx="535">
                  <c:v>2.0248292705499615</c:v>
                </c:pt>
                <c:pt idx="536">
                  <c:v>2.0247948429432308</c:v>
                </c:pt>
                <c:pt idx="537">
                  <c:v>2.0247604156286814</c:v>
                </c:pt>
                <c:pt idx="538">
                  <c:v>2.0247259886062983</c:v>
                </c:pt>
                <c:pt idx="539">
                  <c:v>2.0246915618760948</c:v>
                </c:pt>
                <c:pt idx="540">
                  <c:v>2.0246571354380629</c:v>
                </c:pt>
                <c:pt idx="541">
                  <c:v>2.0246227092922027</c:v>
                </c:pt>
                <c:pt idx="542">
                  <c:v>2.0245882834385185</c:v>
                </c:pt>
                <c:pt idx="543">
                  <c:v>2.0245538578770068</c:v>
                </c:pt>
                <c:pt idx="544">
                  <c:v>2.0245194326076685</c:v>
                </c:pt>
                <c:pt idx="545">
                  <c:v>2.0244850076305045</c:v>
                </c:pt>
                <c:pt idx="546">
                  <c:v>2.0244505829455148</c:v>
                </c:pt>
                <c:pt idx="547">
                  <c:v>2.0244161585526976</c:v>
                </c:pt>
                <c:pt idx="548">
                  <c:v>2.0243817344520574</c:v>
                </c:pt>
                <c:pt idx="549">
                  <c:v>2.0243473106435861</c:v>
                </c:pt>
                <c:pt idx="550">
                  <c:v>2.0243128871272944</c:v>
                </c:pt>
                <c:pt idx="551">
                  <c:v>2.0242784639031779</c:v>
                </c:pt>
                <c:pt idx="552">
                  <c:v>2.0242440409712295</c:v>
                </c:pt>
                <c:pt idx="553">
                  <c:v>2.0242096183314615</c:v>
                </c:pt>
                <c:pt idx="554">
                  <c:v>2.0241751959838608</c:v>
                </c:pt>
                <c:pt idx="555">
                  <c:v>2.0241407739284387</c:v>
                </c:pt>
                <c:pt idx="556">
                  <c:v>2.0241063521651945</c:v>
                </c:pt>
                <c:pt idx="557">
                  <c:v>2.0240719306941237</c:v>
                </c:pt>
                <c:pt idx="558">
                  <c:v>2.0240375095152228</c:v>
                </c:pt>
                <c:pt idx="559">
                  <c:v>2.0240030886285014</c:v>
                </c:pt>
                <c:pt idx="560">
                  <c:v>2.0239686680339535</c:v>
                </c:pt>
                <c:pt idx="561">
                  <c:v>2.023934247731578</c:v>
                </c:pt>
                <c:pt idx="562">
                  <c:v>2.0238998277213796</c:v>
                </c:pt>
                <c:pt idx="563">
                  <c:v>2.023865408003358</c:v>
                </c:pt>
                <c:pt idx="564">
                  <c:v>2.0238309885775099</c:v>
                </c:pt>
                <c:pt idx="565">
                  <c:v>2.0237965694438369</c:v>
                </c:pt>
                <c:pt idx="566">
                  <c:v>2.02376215060234</c:v>
                </c:pt>
                <c:pt idx="567">
                  <c:v>2.0237277320530165</c:v>
                </c:pt>
                <c:pt idx="568">
                  <c:v>2.0236933137958708</c:v>
                </c:pt>
                <c:pt idx="569">
                  <c:v>2.0236588958309003</c:v>
                </c:pt>
                <c:pt idx="570">
                  <c:v>2.023624478158105</c:v>
                </c:pt>
                <c:pt idx="571">
                  <c:v>2.0235900607774839</c:v>
                </c:pt>
                <c:pt idx="572">
                  <c:v>2.0235556436890381</c:v>
                </c:pt>
                <c:pt idx="573">
                  <c:v>2.0235212268927709</c:v>
                </c:pt>
                <c:pt idx="574">
                  <c:v>2.0234868103886789</c:v>
                </c:pt>
                <c:pt idx="575">
                  <c:v>2.0234523941767613</c:v>
                </c:pt>
                <c:pt idx="576">
                  <c:v>2.0234179782570196</c:v>
                </c:pt>
                <c:pt idx="577">
                  <c:v>2.0233835626294567</c:v>
                </c:pt>
                <c:pt idx="578">
                  <c:v>2.0233491472940681</c:v>
                </c:pt>
                <c:pt idx="579">
                  <c:v>2.0233147322508538</c:v>
                </c:pt>
                <c:pt idx="580">
                  <c:v>2.0232803174998164</c:v>
                </c:pt>
                <c:pt idx="581">
                  <c:v>2.0232459030409586</c:v>
                </c:pt>
                <c:pt idx="582">
                  <c:v>2.0232114888742752</c:v>
                </c:pt>
                <c:pt idx="583">
                  <c:v>2.0231770749997704</c:v>
                </c:pt>
                <c:pt idx="584">
                  <c:v>2.0231426614174381</c:v>
                </c:pt>
                <c:pt idx="585">
                  <c:v>2.0231082481272837</c:v>
                </c:pt>
                <c:pt idx="586">
                  <c:v>2.0230738351293098</c:v>
                </c:pt>
                <c:pt idx="587">
                  <c:v>2.0230394224235084</c:v>
                </c:pt>
                <c:pt idx="588">
                  <c:v>2.0230050100098849</c:v>
                </c:pt>
                <c:pt idx="589">
                  <c:v>2.0229705978884374</c:v>
                </c:pt>
                <c:pt idx="590">
                  <c:v>2.0229361860591704</c:v>
                </c:pt>
                <c:pt idx="591">
                  <c:v>2.0229017745220759</c:v>
                </c:pt>
                <c:pt idx="592">
                  <c:v>2.022867363277161</c:v>
                </c:pt>
                <c:pt idx="593">
                  <c:v>2.0228329523244231</c:v>
                </c:pt>
                <c:pt idx="594">
                  <c:v>2.0227985416638603</c:v>
                </c:pt>
                <c:pt idx="595">
                  <c:v>2.0227641312954763</c:v>
                </c:pt>
                <c:pt idx="596">
                  <c:v>2.0227297212192701</c:v>
                </c:pt>
                <c:pt idx="597">
                  <c:v>2.0226953114352417</c:v>
                </c:pt>
                <c:pt idx="598">
                  <c:v>2.0226609019433912</c:v>
                </c:pt>
                <c:pt idx="599">
                  <c:v>2.0226264927437194</c:v>
                </c:pt>
                <c:pt idx="600">
                  <c:v>2.0225920838362246</c:v>
                </c:pt>
                <c:pt idx="601">
                  <c:v>2.022557675220904</c:v>
                </c:pt>
                <c:pt idx="602">
                  <c:v>2.0225232668977613</c:v>
                </c:pt>
                <c:pt idx="603">
                  <c:v>2.0224888588668035</c:v>
                </c:pt>
                <c:pt idx="604">
                  <c:v>2.0224544511280174</c:v>
                </c:pt>
                <c:pt idx="605">
                  <c:v>2.0224200436814126</c:v>
                </c:pt>
                <c:pt idx="606">
                  <c:v>2.0223856365269812</c:v>
                </c:pt>
                <c:pt idx="607">
                  <c:v>2.0223512296647312</c:v>
                </c:pt>
                <c:pt idx="608">
                  <c:v>2.0223168230946627</c:v>
                </c:pt>
                <c:pt idx="609">
                  <c:v>2.0222824168167657</c:v>
                </c:pt>
                <c:pt idx="610">
                  <c:v>2.0222480108310501</c:v>
                </c:pt>
                <c:pt idx="611">
                  <c:v>2.0222136051375141</c:v>
                </c:pt>
                <c:pt idx="612">
                  <c:v>2.0221791997361542</c:v>
                </c:pt>
                <c:pt idx="613">
                  <c:v>2.0221447946269731</c:v>
                </c:pt>
                <c:pt idx="614">
                  <c:v>2.0221103898099715</c:v>
                </c:pt>
                <c:pt idx="615">
                  <c:v>2.0220759852851522</c:v>
                </c:pt>
                <c:pt idx="616">
                  <c:v>2.0220415810525036</c:v>
                </c:pt>
                <c:pt idx="617">
                  <c:v>2.0220071771120409</c:v>
                </c:pt>
                <c:pt idx="618">
                  <c:v>2.021972773463756</c:v>
                </c:pt>
                <c:pt idx="619">
                  <c:v>2.0219383701076454</c:v>
                </c:pt>
                <c:pt idx="620">
                  <c:v>2.0219039670437171</c:v>
                </c:pt>
                <c:pt idx="621">
                  <c:v>2.0218695642719666</c:v>
                </c:pt>
                <c:pt idx="622">
                  <c:v>2.0218351617923993</c:v>
                </c:pt>
                <c:pt idx="623">
                  <c:v>2.021800759605008</c:v>
                </c:pt>
                <c:pt idx="624">
                  <c:v>2.0217663577097955</c:v>
                </c:pt>
                <c:pt idx="625">
                  <c:v>2.0217319561067626</c:v>
                </c:pt>
                <c:pt idx="626">
                  <c:v>2.0216975547959093</c:v>
                </c:pt>
                <c:pt idx="627">
                  <c:v>2.0216631537772374</c:v>
                </c:pt>
                <c:pt idx="628">
                  <c:v>2.0216287530507389</c:v>
                </c:pt>
                <c:pt idx="629">
                  <c:v>2.0215943526164279</c:v>
                </c:pt>
                <c:pt idx="630">
                  <c:v>2.0215599524742922</c:v>
                </c:pt>
                <c:pt idx="631">
                  <c:v>2.021525552624337</c:v>
                </c:pt>
                <c:pt idx="632">
                  <c:v>2.0214911530665605</c:v>
                </c:pt>
                <c:pt idx="633">
                  <c:v>2.0214567538009671</c:v>
                </c:pt>
                <c:pt idx="634">
                  <c:v>2.021422354827549</c:v>
                </c:pt>
                <c:pt idx="635">
                  <c:v>2.0213879561463148</c:v>
                </c:pt>
                <c:pt idx="636">
                  <c:v>2.0213535577572621</c:v>
                </c:pt>
                <c:pt idx="637">
                  <c:v>2.0213191596603837</c:v>
                </c:pt>
                <c:pt idx="638">
                  <c:v>2.0212847618556866</c:v>
                </c:pt>
                <c:pt idx="639">
                  <c:v>2.0212503643431745</c:v>
                </c:pt>
                <c:pt idx="640">
                  <c:v>2.021215967122842</c:v>
                </c:pt>
                <c:pt idx="641">
                  <c:v>2.0211815701946847</c:v>
                </c:pt>
                <c:pt idx="642">
                  <c:v>2.0211471735587132</c:v>
                </c:pt>
                <c:pt idx="643">
                  <c:v>2.0211127772149187</c:v>
                </c:pt>
                <c:pt idx="644">
                  <c:v>2.0210783811633073</c:v>
                </c:pt>
                <c:pt idx="645">
                  <c:v>2.0210439854038729</c:v>
                </c:pt>
                <c:pt idx="646">
                  <c:v>2.0210095899366198</c:v>
                </c:pt>
                <c:pt idx="647">
                  <c:v>2.0209751947615535</c:v>
                </c:pt>
                <c:pt idx="648">
                  <c:v>2.0209407998786624</c:v>
                </c:pt>
                <c:pt idx="649">
                  <c:v>2.0209064052879562</c:v>
                </c:pt>
                <c:pt idx="650">
                  <c:v>2.0208720109894296</c:v>
                </c:pt>
                <c:pt idx="651">
                  <c:v>2.0208376169830826</c:v>
                </c:pt>
                <c:pt idx="652">
                  <c:v>2.020803223268917</c:v>
                </c:pt>
                <c:pt idx="653">
                  <c:v>2.0207688298469302</c:v>
                </c:pt>
                <c:pt idx="654">
                  <c:v>2.02073443671713</c:v>
                </c:pt>
                <c:pt idx="655">
                  <c:v>2.0207000438795086</c:v>
                </c:pt>
                <c:pt idx="656">
                  <c:v>2.0206656513340668</c:v>
                </c:pt>
                <c:pt idx="657">
                  <c:v>2.0206312590808091</c:v>
                </c:pt>
                <c:pt idx="658">
                  <c:v>2.0205968671197345</c:v>
                </c:pt>
                <c:pt idx="659">
                  <c:v>2.0205624754508342</c:v>
                </c:pt>
                <c:pt idx="660">
                  <c:v>2.0205280840741224</c:v>
                </c:pt>
                <c:pt idx="661">
                  <c:v>2.0204936929895876</c:v>
                </c:pt>
                <c:pt idx="662">
                  <c:v>2.0204593021972403</c:v>
                </c:pt>
                <c:pt idx="663">
                  <c:v>2.0204249116970718</c:v>
                </c:pt>
                <c:pt idx="664">
                  <c:v>2.0203905214890838</c:v>
                </c:pt>
                <c:pt idx="665">
                  <c:v>2.020356131573279</c:v>
                </c:pt>
                <c:pt idx="666">
                  <c:v>2.0203217419496564</c:v>
                </c:pt>
                <c:pt idx="667">
                  <c:v>2.0202873526182152</c:v>
                </c:pt>
                <c:pt idx="668">
                  <c:v>2.0202529635789572</c:v>
                </c:pt>
                <c:pt idx="669">
                  <c:v>2.0202185748318762</c:v>
                </c:pt>
                <c:pt idx="670">
                  <c:v>2.0201841863769872</c:v>
                </c:pt>
                <c:pt idx="671">
                  <c:v>2.0201497982142778</c:v>
                </c:pt>
                <c:pt idx="672">
                  <c:v>2.0201154103437462</c:v>
                </c:pt>
                <c:pt idx="673">
                  <c:v>2.0200810227653978</c:v>
                </c:pt>
                <c:pt idx="674">
                  <c:v>2.0200466354792344</c:v>
                </c:pt>
                <c:pt idx="675">
                  <c:v>2.0200122484852514</c:v>
                </c:pt>
                <c:pt idx="676">
                  <c:v>2.0199778617834507</c:v>
                </c:pt>
                <c:pt idx="677">
                  <c:v>2.019943475373835</c:v>
                </c:pt>
                <c:pt idx="678">
                  <c:v>2.0199090892564016</c:v>
                </c:pt>
                <c:pt idx="679">
                  <c:v>2.0198747034311504</c:v>
                </c:pt>
                <c:pt idx="680">
                  <c:v>2.0198403178980842</c:v>
                </c:pt>
                <c:pt idx="681">
                  <c:v>2.0198059326572002</c:v>
                </c:pt>
                <c:pt idx="682">
                  <c:v>2.0197715477084959</c:v>
                </c:pt>
                <c:pt idx="683">
                  <c:v>2.01973716305198</c:v>
                </c:pt>
                <c:pt idx="684">
                  <c:v>2.0197027786876429</c:v>
                </c:pt>
                <c:pt idx="685">
                  <c:v>2.0196683946154907</c:v>
                </c:pt>
                <c:pt idx="686">
                  <c:v>2.0196340108355173</c:v>
                </c:pt>
                <c:pt idx="687">
                  <c:v>2.0195996273477377</c:v>
                </c:pt>
                <c:pt idx="688">
                  <c:v>2.0195652441521306</c:v>
                </c:pt>
                <c:pt idx="689">
                  <c:v>2.019530861248712</c:v>
                </c:pt>
                <c:pt idx="690">
                  <c:v>2.0194964786374756</c:v>
                </c:pt>
                <c:pt idx="691">
                  <c:v>2.0194620963184233</c:v>
                </c:pt>
                <c:pt idx="692">
                  <c:v>2.0194277142915569</c:v>
                </c:pt>
                <c:pt idx="693">
                  <c:v>2.01939333255687</c:v>
                </c:pt>
                <c:pt idx="694">
                  <c:v>2.0193589511143699</c:v>
                </c:pt>
                <c:pt idx="695">
                  <c:v>2.0193245699640539</c:v>
                </c:pt>
                <c:pt idx="696">
                  <c:v>2.019290189105921</c:v>
                </c:pt>
                <c:pt idx="697">
                  <c:v>2.0192558085399792</c:v>
                </c:pt>
                <c:pt idx="698">
                  <c:v>2.0192214282662109</c:v>
                </c:pt>
                <c:pt idx="699">
                  <c:v>2.0191870482846292</c:v>
                </c:pt>
                <c:pt idx="700">
                  <c:v>2.0191526685952343</c:v>
                </c:pt>
                <c:pt idx="701">
                  <c:v>2.0191182891980244</c:v>
                </c:pt>
                <c:pt idx="702">
                  <c:v>2.0190839100929932</c:v>
                </c:pt>
                <c:pt idx="703">
                  <c:v>2.0190495312801513</c:v>
                </c:pt>
                <c:pt idx="704">
                  <c:v>2.0190151527594917</c:v>
                </c:pt>
                <c:pt idx="705">
                  <c:v>2.0189807745310206</c:v>
                </c:pt>
                <c:pt idx="706">
                  <c:v>2.0189463965947319</c:v>
                </c:pt>
                <c:pt idx="707">
                  <c:v>2.0189120189506253</c:v>
                </c:pt>
                <c:pt idx="708">
                  <c:v>2.0188776415987038</c:v>
                </c:pt>
                <c:pt idx="709">
                  <c:v>2.0188432645389698</c:v>
                </c:pt>
                <c:pt idx="710">
                  <c:v>2.0188088877714154</c:v>
                </c:pt>
                <c:pt idx="711">
                  <c:v>2.0187745112960513</c:v>
                </c:pt>
                <c:pt idx="712">
                  <c:v>2.0187401351128686</c:v>
                </c:pt>
                <c:pt idx="713">
                  <c:v>2.01870575922187</c:v>
                </c:pt>
                <c:pt idx="714">
                  <c:v>2.0186713836230625</c:v>
                </c:pt>
                <c:pt idx="715">
                  <c:v>2.0186370083164329</c:v>
                </c:pt>
                <c:pt idx="716">
                  <c:v>2.0186026333019935</c:v>
                </c:pt>
                <c:pt idx="717">
                  <c:v>2.0185682585797347</c:v>
                </c:pt>
                <c:pt idx="718">
                  <c:v>2.0185338841496625</c:v>
                </c:pt>
                <c:pt idx="719">
                  <c:v>2.0184995100117797</c:v>
                </c:pt>
                <c:pt idx="720">
                  <c:v>2.0184651361660793</c:v>
                </c:pt>
                <c:pt idx="721">
                  <c:v>2.0184307626125637</c:v>
                </c:pt>
                <c:pt idx="722">
                  <c:v>2.0183963893512331</c:v>
                </c:pt>
                <c:pt idx="723">
                  <c:v>2.0183620163820919</c:v>
                </c:pt>
                <c:pt idx="724">
                  <c:v>2.0183276437051267</c:v>
                </c:pt>
                <c:pt idx="725">
                  <c:v>2.0182932713203572</c:v>
                </c:pt>
                <c:pt idx="726">
                  <c:v>2.018258899227769</c:v>
                </c:pt>
                <c:pt idx="727">
                  <c:v>2.0182245274273694</c:v>
                </c:pt>
                <c:pt idx="728">
                  <c:v>2.018190155919152</c:v>
                </c:pt>
                <c:pt idx="729">
                  <c:v>2.0181557847031222</c:v>
                </c:pt>
                <c:pt idx="730">
                  <c:v>2.01812141377928</c:v>
                </c:pt>
                <c:pt idx="731">
                  <c:v>2.0180870431476228</c:v>
                </c:pt>
                <c:pt idx="732">
                  <c:v>2.0180526728081478</c:v>
                </c:pt>
                <c:pt idx="733">
                  <c:v>2.0180183027608649</c:v>
                </c:pt>
                <c:pt idx="734">
                  <c:v>2.0179839330057652</c:v>
                </c:pt>
                <c:pt idx="735">
                  <c:v>2.0179495635428522</c:v>
                </c:pt>
                <c:pt idx="736">
                  <c:v>2.0179151943721267</c:v>
                </c:pt>
                <c:pt idx="737">
                  <c:v>2.0178808254935845</c:v>
                </c:pt>
                <c:pt idx="738">
                  <c:v>2.0178464569072325</c:v>
                </c:pt>
                <c:pt idx="739">
                  <c:v>2.0178120886130646</c:v>
                </c:pt>
                <c:pt idx="740">
                  <c:v>2.0177777206110861</c:v>
                </c:pt>
                <c:pt idx="741">
                  <c:v>2.0177433529012934</c:v>
                </c:pt>
                <c:pt idx="742">
                  <c:v>2.0177089854836856</c:v>
                </c:pt>
                <c:pt idx="743">
                  <c:v>2.0176746183582663</c:v>
                </c:pt>
                <c:pt idx="744">
                  <c:v>2.017640251525032</c:v>
                </c:pt>
                <c:pt idx="745">
                  <c:v>2.0176058849839835</c:v>
                </c:pt>
                <c:pt idx="746">
                  <c:v>2.0175715187351262</c:v>
                </c:pt>
                <c:pt idx="747">
                  <c:v>2.0175371527784494</c:v>
                </c:pt>
                <c:pt idx="748">
                  <c:v>2.0175027871139664</c:v>
                </c:pt>
                <c:pt idx="749">
                  <c:v>2.0174684217416665</c:v>
                </c:pt>
                <c:pt idx="750">
                  <c:v>2.0174340566615578</c:v>
                </c:pt>
                <c:pt idx="751">
                  <c:v>2.0173996918736314</c:v>
                </c:pt>
                <c:pt idx="752">
                  <c:v>2.0173653273778944</c:v>
                </c:pt>
                <c:pt idx="753">
                  <c:v>2.0173309631743459</c:v>
                </c:pt>
                <c:pt idx="754">
                  <c:v>2.017296599262985</c:v>
                </c:pt>
                <c:pt idx="755">
                  <c:v>2.0172622356438081</c:v>
                </c:pt>
                <c:pt idx="756">
                  <c:v>2.0172278723168224</c:v>
                </c:pt>
                <c:pt idx="757">
                  <c:v>2.0171935092820181</c:v>
                </c:pt>
                <c:pt idx="758">
                  <c:v>2.0171591465394085</c:v>
                </c:pt>
                <c:pt idx="759">
                  <c:v>2.0171247840889857</c:v>
                </c:pt>
                <c:pt idx="760">
                  <c:v>2.0170904219307459</c:v>
                </c:pt>
                <c:pt idx="761">
                  <c:v>2.0170560600646956</c:v>
                </c:pt>
                <c:pt idx="762">
                  <c:v>2.0170216984908356</c:v>
                </c:pt>
                <c:pt idx="763">
                  <c:v>2.016987337209164</c:v>
                </c:pt>
                <c:pt idx="764">
                  <c:v>2.0169529762196756</c:v>
                </c:pt>
                <c:pt idx="765">
                  <c:v>2.0169186155223811</c:v>
                </c:pt>
                <c:pt idx="766">
                  <c:v>2.0168842551172723</c:v>
                </c:pt>
                <c:pt idx="767">
                  <c:v>2.0168498950043512</c:v>
                </c:pt>
                <c:pt idx="768">
                  <c:v>2.0168155351836168</c:v>
                </c:pt>
                <c:pt idx="769">
                  <c:v>2.0167811756550726</c:v>
                </c:pt>
                <c:pt idx="770">
                  <c:v>2.0167468164187135</c:v>
                </c:pt>
                <c:pt idx="771">
                  <c:v>2.016712457474549</c:v>
                </c:pt>
                <c:pt idx="772">
                  <c:v>2.0166780988225685</c:v>
                </c:pt>
                <c:pt idx="773">
                  <c:v>2.0166437404627766</c:v>
                </c:pt>
                <c:pt idx="774">
                  <c:v>2.0166093823951767</c:v>
                </c:pt>
                <c:pt idx="775">
                  <c:v>2.0165750246197609</c:v>
                </c:pt>
                <c:pt idx="776">
                  <c:v>2.0165406671365389</c:v>
                </c:pt>
                <c:pt idx="777">
                  <c:v>2.0165063099455001</c:v>
                </c:pt>
                <c:pt idx="778">
                  <c:v>2.0164719530466506</c:v>
                </c:pt>
                <c:pt idx="779">
                  <c:v>2.0164375964399959</c:v>
                </c:pt>
                <c:pt idx="780">
                  <c:v>2.0164032401255234</c:v>
                </c:pt>
                <c:pt idx="781">
                  <c:v>2.0163688841032403</c:v>
                </c:pt>
                <c:pt idx="782">
                  <c:v>2.0163345283731511</c:v>
                </c:pt>
                <c:pt idx="783">
                  <c:v>2.0163001729352512</c:v>
                </c:pt>
                <c:pt idx="784">
                  <c:v>2.0162658177895363</c:v>
                </c:pt>
                <c:pt idx="785">
                  <c:v>2.0162314629360099</c:v>
                </c:pt>
                <c:pt idx="786">
                  <c:v>2.0161971083746755</c:v>
                </c:pt>
                <c:pt idx="787">
                  <c:v>2.0161627541055287</c:v>
                </c:pt>
                <c:pt idx="788">
                  <c:v>2.0161284001285686</c:v>
                </c:pt>
                <c:pt idx="789">
                  <c:v>2.0160940464438024</c:v>
                </c:pt>
                <c:pt idx="790">
                  <c:v>2.0160596930512265</c:v>
                </c:pt>
                <c:pt idx="791">
                  <c:v>2.0160253399508381</c:v>
                </c:pt>
                <c:pt idx="792">
                  <c:v>2.0159909871426365</c:v>
                </c:pt>
                <c:pt idx="793">
                  <c:v>2.0159566346266278</c:v>
                </c:pt>
                <c:pt idx="794">
                  <c:v>2.0159222824028049</c:v>
                </c:pt>
                <c:pt idx="795">
                  <c:v>2.0158879304711768</c:v>
                </c:pt>
                <c:pt idx="796">
                  <c:v>2.0158535788317353</c:v>
                </c:pt>
                <c:pt idx="797">
                  <c:v>2.0158192274844859</c:v>
                </c:pt>
                <c:pt idx="798">
                  <c:v>2.0157848764294251</c:v>
                </c:pt>
                <c:pt idx="799">
                  <c:v>2.0157505256665571</c:v>
                </c:pt>
                <c:pt idx="800">
                  <c:v>2.0157161751958705</c:v>
                </c:pt>
                <c:pt idx="801">
                  <c:v>2.0156818250173858</c:v>
                </c:pt>
                <c:pt idx="802">
                  <c:v>2.0156474751310824</c:v>
                </c:pt>
                <c:pt idx="803">
                  <c:v>2.0156131255369738</c:v>
                </c:pt>
                <c:pt idx="804">
                  <c:v>2.015578776235051</c:v>
                </c:pt>
                <c:pt idx="805">
                  <c:v>2.015544427225322</c:v>
                </c:pt>
                <c:pt idx="806">
                  <c:v>2.0155100785077815</c:v>
                </c:pt>
                <c:pt idx="807">
                  <c:v>2.0154757300824349</c:v>
                </c:pt>
                <c:pt idx="808">
                  <c:v>2.0154413819492731</c:v>
                </c:pt>
                <c:pt idx="809">
                  <c:v>2.015407034108307</c:v>
                </c:pt>
                <c:pt idx="810">
                  <c:v>2.015372686559525</c:v>
                </c:pt>
                <c:pt idx="811">
                  <c:v>2.0153383393029394</c:v>
                </c:pt>
                <c:pt idx="812">
                  <c:v>2.0153039923385414</c:v>
                </c:pt>
                <c:pt idx="813">
                  <c:v>2.015269645666339</c:v>
                </c:pt>
                <c:pt idx="814">
                  <c:v>2.0152352992863216</c:v>
                </c:pt>
                <c:pt idx="815">
                  <c:v>2.015200953198498</c:v>
                </c:pt>
                <c:pt idx="816">
                  <c:v>2.0151666074028647</c:v>
                </c:pt>
                <c:pt idx="817">
                  <c:v>2.0151322618994243</c:v>
                </c:pt>
                <c:pt idx="818">
                  <c:v>2.0150979166881697</c:v>
                </c:pt>
                <c:pt idx="819">
                  <c:v>2.0150635717691108</c:v>
                </c:pt>
                <c:pt idx="820">
                  <c:v>2.0150292271422412</c:v>
                </c:pt>
                <c:pt idx="821">
                  <c:v>2.0149948828075601</c:v>
                </c:pt>
                <c:pt idx="822">
                  <c:v>2.0149605387650729</c:v>
                </c:pt>
                <c:pt idx="823">
                  <c:v>2.0149261950147768</c:v>
                </c:pt>
                <c:pt idx="824">
                  <c:v>2.0148918515566736</c:v>
                </c:pt>
                <c:pt idx="825">
                  <c:v>2.0148575083907581</c:v>
                </c:pt>
                <c:pt idx="826">
                  <c:v>2.0148231655170363</c:v>
                </c:pt>
                <c:pt idx="827">
                  <c:v>2.0147888229355075</c:v>
                </c:pt>
                <c:pt idx="828">
                  <c:v>2.0147544806461672</c:v>
                </c:pt>
                <c:pt idx="829">
                  <c:v>2.014720138649019</c:v>
                </c:pt>
                <c:pt idx="830">
                  <c:v>2.0146857969440646</c:v>
                </c:pt>
                <c:pt idx="831">
                  <c:v>2.0146514555313022</c:v>
                </c:pt>
                <c:pt idx="832">
                  <c:v>2.0146171144107292</c:v>
                </c:pt>
                <c:pt idx="833">
                  <c:v>2.0145827735823501</c:v>
                </c:pt>
                <c:pt idx="834">
                  <c:v>2.0145484330461612</c:v>
                </c:pt>
                <c:pt idx="835">
                  <c:v>2.0145140928021679</c:v>
                </c:pt>
                <c:pt idx="836">
                  <c:v>2.0144797528503577</c:v>
                </c:pt>
                <c:pt idx="837">
                  <c:v>2.014445413190745</c:v>
                </c:pt>
                <c:pt idx="838">
                  <c:v>2.0144110738233261</c:v>
                </c:pt>
                <c:pt idx="839">
                  <c:v>2.0143767347480974</c:v>
                </c:pt>
                <c:pt idx="840">
                  <c:v>2.0143423959650608</c:v>
                </c:pt>
                <c:pt idx="841">
                  <c:v>2.0143080574742154</c:v>
                </c:pt>
                <c:pt idx="842">
                  <c:v>2.0142737192755584</c:v>
                </c:pt>
                <c:pt idx="843">
                  <c:v>2.0142393813691033</c:v>
                </c:pt>
                <c:pt idx="844">
                  <c:v>2.0142050437548349</c:v>
                </c:pt>
                <c:pt idx="845">
                  <c:v>2.0141707064327585</c:v>
                </c:pt>
                <c:pt idx="846">
                  <c:v>2.014136369402876</c:v>
                </c:pt>
                <c:pt idx="847">
                  <c:v>2.0141020326651891</c:v>
                </c:pt>
                <c:pt idx="848">
                  <c:v>2.0140676962196888</c:v>
                </c:pt>
                <c:pt idx="849">
                  <c:v>2.0140333600663824</c:v>
                </c:pt>
                <c:pt idx="850">
                  <c:v>2.013999024205269</c:v>
                </c:pt>
                <c:pt idx="851">
                  <c:v>2.0139646886363547</c:v>
                </c:pt>
                <c:pt idx="852">
                  <c:v>2.0139303533596236</c:v>
                </c:pt>
                <c:pt idx="853">
                  <c:v>2.0138960183750916</c:v>
                </c:pt>
                <c:pt idx="854">
                  <c:v>2.0138616836827463</c:v>
                </c:pt>
                <c:pt idx="855">
                  <c:v>2.0138273492825993</c:v>
                </c:pt>
                <c:pt idx="856">
                  <c:v>2.0137930151746417</c:v>
                </c:pt>
                <c:pt idx="857">
                  <c:v>2.0137586813588797</c:v>
                </c:pt>
                <c:pt idx="858">
                  <c:v>2.0137243478353062</c:v>
                </c:pt>
                <c:pt idx="859">
                  <c:v>2.0136900146039318</c:v>
                </c:pt>
                <c:pt idx="860">
                  <c:v>2.0136556816647495</c:v>
                </c:pt>
                <c:pt idx="861">
                  <c:v>2.0136213490177592</c:v>
                </c:pt>
                <c:pt idx="862">
                  <c:v>2.0135870166629619</c:v>
                </c:pt>
                <c:pt idx="863">
                  <c:v>2.0135526846003575</c:v>
                </c:pt>
                <c:pt idx="864">
                  <c:v>2.0135183528299487</c:v>
                </c:pt>
                <c:pt idx="865">
                  <c:v>2.0134840213517311</c:v>
                </c:pt>
                <c:pt idx="866">
                  <c:v>2.01344969016571</c:v>
                </c:pt>
                <c:pt idx="867">
                  <c:v>2.0134153592718809</c:v>
                </c:pt>
                <c:pt idx="868">
                  <c:v>2.013381028670242</c:v>
                </c:pt>
                <c:pt idx="869">
                  <c:v>2.0133466983608006</c:v>
                </c:pt>
                <c:pt idx="870">
                  <c:v>2.0133123683435539</c:v>
                </c:pt>
                <c:pt idx="871">
                  <c:v>2.0132780386184983</c:v>
                </c:pt>
                <c:pt idx="872">
                  <c:v>2.0132437091856366</c:v>
                </c:pt>
                <c:pt idx="873">
                  <c:v>2.0132093800449704</c:v>
                </c:pt>
                <c:pt idx="874">
                  <c:v>2.0131750511964928</c:v>
                </c:pt>
                <c:pt idx="875">
                  <c:v>2.0131407226402152</c:v>
                </c:pt>
                <c:pt idx="876">
                  <c:v>2.013106394376126</c:v>
                </c:pt>
                <c:pt idx="877">
                  <c:v>2.013072066404237</c:v>
                </c:pt>
                <c:pt idx="878">
                  <c:v>2.0130377387245391</c:v>
                </c:pt>
                <c:pt idx="879">
                  <c:v>2.0130034113370368</c:v>
                </c:pt>
                <c:pt idx="880">
                  <c:v>2.0129690842417256</c:v>
                </c:pt>
                <c:pt idx="881">
                  <c:v>2.0129347574386109</c:v>
                </c:pt>
                <c:pt idx="882">
                  <c:v>2.0129004309276892</c:v>
                </c:pt>
                <c:pt idx="883">
                  <c:v>2.0128661047089675</c:v>
                </c:pt>
                <c:pt idx="884">
                  <c:v>2.0128317787824308</c:v>
                </c:pt>
                <c:pt idx="885">
                  <c:v>2.0127974531480932</c:v>
                </c:pt>
                <c:pt idx="886">
                  <c:v>2.0127631278059521</c:v>
                </c:pt>
                <c:pt idx="887">
                  <c:v>2.0127288027560031</c:v>
                </c:pt>
                <c:pt idx="888">
                  <c:v>2.012694477998247</c:v>
                </c:pt>
                <c:pt idx="889">
                  <c:v>2.0126601535326891</c:v>
                </c:pt>
                <c:pt idx="890">
                  <c:v>2.0126258293593233</c:v>
                </c:pt>
                <c:pt idx="891">
                  <c:v>2.0125915054781531</c:v>
                </c:pt>
                <c:pt idx="892">
                  <c:v>2.012557181889175</c:v>
                </c:pt>
                <c:pt idx="893">
                  <c:v>2.0125228585923951</c:v>
                </c:pt>
                <c:pt idx="894">
                  <c:v>2.012488535587809</c:v>
                </c:pt>
                <c:pt idx="895">
                  <c:v>2.012454212875423</c:v>
                </c:pt>
                <c:pt idx="896">
                  <c:v>2.0124198904552264</c:v>
                </c:pt>
                <c:pt idx="897">
                  <c:v>2.0123855683272254</c:v>
                </c:pt>
                <c:pt idx="898">
                  <c:v>2.0123512464914208</c:v>
                </c:pt>
                <c:pt idx="899">
                  <c:v>2.0123169249478101</c:v>
                </c:pt>
                <c:pt idx="900">
                  <c:v>2.0122826036963959</c:v>
                </c:pt>
                <c:pt idx="901">
                  <c:v>2.0122482827371764</c:v>
                </c:pt>
                <c:pt idx="902">
                  <c:v>2.0122139620701525</c:v>
                </c:pt>
                <c:pt idx="903">
                  <c:v>2.0121796416953215</c:v>
                </c:pt>
                <c:pt idx="904">
                  <c:v>2.0121453216126879</c:v>
                </c:pt>
                <c:pt idx="905">
                  <c:v>2.0121110018222472</c:v>
                </c:pt>
                <c:pt idx="906">
                  <c:v>2.0120766823240031</c:v>
                </c:pt>
                <c:pt idx="907">
                  <c:v>2.0120423631179545</c:v>
                </c:pt>
                <c:pt idx="908">
                  <c:v>2.0120080442041051</c:v>
                </c:pt>
                <c:pt idx="909">
                  <c:v>2.011973725582445</c:v>
                </c:pt>
                <c:pt idx="910">
                  <c:v>2.0119394072529868</c:v>
                </c:pt>
                <c:pt idx="911">
                  <c:v>2.0119050892157198</c:v>
                </c:pt>
                <c:pt idx="912">
                  <c:v>2.0118707714706519</c:v>
                </c:pt>
                <c:pt idx="913">
                  <c:v>2.011836454017776</c:v>
                </c:pt>
                <c:pt idx="914">
                  <c:v>2.011802136857102</c:v>
                </c:pt>
                <c:pt idx="915">
                  <c:v>2.0117678199886182</c:v>
                </c:pt>
                <c:pt idx="916">
                  <c:v>2.0117335034123318</c:v>
                </c:pt>
                <c:pt idx="917">
                  <c:v>2.0116991871282393</c:v>
                </c:pt>
                <c:pt idx="918">
                  <c:v>2.0116648711363485</c:v>
                </c:pt>
                <c:pt idx="919">
                  <c:v>2.0116305554366471</c:v>
                </c:pt>
                <c:pt idx="920">
                  <c:v>2.0115962400291458</c:v>
                </c:pt>
                <c:pt idx="921">
                  <c:v>2.0115619249138428</c:v>
                </c:pt>
                <c:pt idx="922">
                  <c:v>2.0115276100907327</c:v>
                </c:pt>
                <c:pt idx="923">
                  <c:v>2.0114932955598155</c:v>
                </c:pt>
                <c:pt idx="924">
                  <c:v>2.0114589813210992</c:v>
                </c:pt>
                <c:pt idx="925">
                  <c:v>2.0114246673745804</c:v>
                </c:pt>
                <c:pt idx="926">
                  <c:v>2.0113903537202562</c:v>
                </c:pt>
                <c:pt idx="927">
                  <c:v>2.0113560403581294</c:v>
                </c:pt>
                <c:pt idx="928">
                  <c:v>2.0113217272881982</c:v>
                </c:pt>
                <c:pt idx="929">
                  <c:v>2.0112874145104627</c:v>
                </c:pt>
                <c:pt idx="930">
                  <c:v>2.0112531020249271</c:v>
                </c:pt>
                <c:pt idx="931">
                  <c:v>2.0112187898315801</c:v>
                </c:pt>
                <c:pt idx="932">
                  <c:v>2.0111844779304366</c:v>
                </c:pt>
                <c:pt idx="933">
                  <c:v>2.0111501663214897</c:v>
                </c:pt>
                <c:pt idx="934">
                  <c:v>2.0111158550047348</c:v>
                </c:pt>
                <c:pt idx="935">
                  <c:v>2.0110815439801826</c:v>
                </c:pt>
                <c:pt idx="936">
                  <c:v>2.0110472332478304</c:v>
                </c:pt>
                <c:pt idx="937">
                  <c:v>2.011012922807665</c:v>
                </c:pt>
                <c:pt idx="938">
                  <c:v>2.0109786126596987</c:v>
                </c:pt>
                <c:pt idx="939">
                  <c:v>2.0109443028039315</c:v>
                </c:pt>
                <c:pt idx="940">
                  <c:v>2.0109099932403653</c:v>
                </c:pt>
                <c:pt idx="941">
                  <c:v>2.0108756839689894</c:v>
                </c:pt>
                <c:pt idx="942">
                  <c:v>2.0108413749898126</c:v>
                </c:pt>
                <c:pt idx="943">
                  <c:v>2.0108070663028368</c:v>
                </c:pt>
                <c:pt idx="944">
                  <c:v>2.0107727579080521</c:v>
                </c:pt>
                <c:pt idx="945">
                  <c:v>2.0107384498054692</c:v>
                </c:pt>
                <c:pt idx="946">
                  <c:v>2.0107041419950784</c:v>
                </c:pt>
                <c:pt idx="947">
                  <c:v>2.0106698344768903</c:v>
                </c:pt>
                <c:pt idx="948">
                  <c:v>2.0106355272508996</c:v>
                </c:pt>
                <c:pt idx="949">
                  <c:v>2.0106012203171026</c:v>
                </c:pt>
                <c:pt idx="950">
                  <c:v>2.0105669136755111</c:v>
                </c:pt>
                <c:pt idx="951">
                  <c:v>2.0105326073261081</c:v>
                </c:pt>
                <c:pt idx="952">
                  <c:v>2.0104983012689051</c:v>
                </c:pt>
                <c:pt idx="953">
                  <c:v>2.0104639955039021</c:v>
                </c:pt>
                <c:pt idx="954">
                  <c:v>2.010429690031093</c:v>
                </c:pt>
                <c:pt idx="955">
                  <c:v>2.0103953848504839</c:v>
                </c:pt>
                <c:pt idx="956">
                  <c:v>2.0103610799620757</c:v>
                </c:pt>
                <c:pt idx="957">
                  <c:v>2.0103267753658631</c:v>
                </c:pt>
                <c:pt idx="958">
                  <c:v>2.0102924710618497</c:v>
                </c:pt>
                <c:pt idx="959">
                  <c:v>2.0102581670500284</c:v>
                </c:pt>
                <c:pt idx="960">
                  <c:v>2.0102238633304115</c:v>
                </c:pt>
                <c:pt idx="961">
                  <c:v>2.0101895599029858</c:v>
                </c:pt>
                <c:pt idx="962">
                  <c:v>2.0101552567677619</c:v>
                </c:pt>
                <c:pt idx="963">
                  <c:v>2.0101209539247398</c:v>
                </c:pt>
                <c:pt idx="964">
                  <c:v>2.0100866513739106</c:v>
                </c:pt>
                <c:pt idx="965">
                  <c:v>2.010052349115278</c:v>
                </c:pt>
                <c:pt idx="966">
                  <c:v>2.0100180471488516</c:v>
                </c:pt>
                <c:pt idx="967">
                  <c:v>2.0099837454746181</c:v>
                </c:pt>
                <c:pt idx="968">
                  <c:v>2.009949444092582</c:v>
                </c:pt>
                <c:pt idx="969">
                  <c:v>2.0099151430027504</c:v>
                </c:pt>
                <c:pt idx="970">
                  <c:v>2.0098808422051073</c:v>
                </c:pt>
                <c:pt idx="971">
                  <c:v>2.0098465416996723</c:v>
                </c:pt>
                <c:pt idx="972">
                  <c:v>2.0098122414864301</c:v>
                </c:pt>
                <c:pt idx="973">
                  <c:v>2.0097779415653845</c:v>
                </c:pt>
                <c:pt idx="974">
                  <c:v>2.009743641936546</c:v>
                </c:pt>
                <c:pt idx="975">
                  <c:v>2.0097093425998969</c:v>
                </c:pt>
                <c:pt idx="976">
                  <c:v>2.0096750435554496</c:v>
                </c:pt>
                <c:pt idx="977">
                  <c:v>2.0096407448032041</c:v>
                </c:pt>
                <c:pt idx="978">
                  <c:v>2.009606446343156</c:v>
                </c:pt>
                <c:pt idx="979">
                  <c:v>2.0095721481753035</c:v>
                </c:pt>
                <c:pt idx="980">
                  <c:v>2.0095378502996528</c:v>
                </c:pt>
                <c:pt idx="981">
                  <c:v>2.0095035527162013</c:v>
                </c:pt>
                <c:pt idx="982">
                  <c:v>2.0094692554249489</c:v>
                </c:pt>
                <c:pt idx="983">
                  <c:v>2.0094349584258886</c:v>
                </c:pt>
                <c:pt idx="984">
                  <c:v>2.0094006617190328</c:v>
                </c:pt>
                <c:pt idx="985">
                  <c:v>2.009366365304377</c:v>
                </c:pt>
                <c:pt idx="986">
                  <c:v>2.0093320691819185</c:v>
                </c:pt>
                <c:pt idx="987">
                  <c:v>2.009297773351661</c:v>
                </c:pt>
                <c:pt idx="988">
                  <c:v>2.0092634778135992</c:v>
                </c:pt>
                <c:pt idx="989">
                  <c:v>2.0092291825677382</c:v>
                </c:pt>
                <c:pt idx="990">
                  <c:v>2.0091948876140782</c:v>
                </c:pt>
                <c:pt idx="991">
                  <c:v>2.0091605929526146</c:v>
                </c:pt>
                <c:pt idx="992">
                  <c:v>2.0091262985833511</c:v>
                </c:pt>
                <c:pt idx="993">
                  <c:v>2.0090920045062886</c:v>
                </c:pt>
                <c:pt idx="994">
                  <c:v>2.0090577107214243</c:v>
                </c:pt>
                <c:pt idx="995">
                  <c:v>2.00902341722876</c:v>
                </c:pt>
                <c:pt idx="996">
                  <c:v>2.0089891240282975</c:v>
                </c:pt>
                <c:pt idx="997">
                  <c:v>2.0089548311200298</c:v>
                </c:pt>
                <c:pt idx="998">
                  <c:v>2.0089205385039683</c:v>
                </c:pt>
                <c:pt idx="999">
                  <c:v>2.0088862461801025</c:v>
                </c:pt>
                <c:pt idx="1000">
                  <c:v>2.008851954148434</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Calculs!$AH$4:$AH$1004</c:f>
              <c:numCache>
                <c:formatCode>0.00</c:formatCode>
                <c:ptCount val="1001"/>
                <c:pt idx="0">
                  <c:v>0</c:v>
                </c:pt>
                <c:pt idx="1">
                  <c:v>29.090071555197493</c:v>
                </c:pt>
                <c:pt idx="2">
                  <c:v>110.07936164040953</c:v>
                </c:pt>
                <c:pt idx="3">
                  <c:v>159.44109811295502</c:v>
                </c:pt>
                <c:pt idx="4">
                  <c:v>154.29076548416344</c:v>
                </c:pt>
                <c:pt idx="5">
                  <c:v>149.12688346267811</c:v>
                </c:pt>
                <c:pt idx="6">
                  <c:v>147.10585389180011</c:v>
                </c:pt>
                <c:pt idx="7">
                  <c:v>148.23686012002875</c:v>
                </c:pt>
                <c:pt idx="8">
                  <c:v>149.36844298576221</c:v>
                </c:pt>
                <c:pt idx="9">
                  <c:v>150.50057758580178</c:v>
                </c:pt>
                <c:pt idx="10">
                  <c:v>151.63323859531025</c:v>
                </c:pt>
                <c:pt idx="11">
                  <c:v>152.43876610746955</c:v>
                </c:pt>
                <c:pt idx="12">
                  <c:v>152.91618394245211</c:v>
                </c:pt>
                <c:pt idx="13">
                  <c:v>153.39265073643207</c:v>
                </c:pt>
                <c:pt idx="14">
                  <c:v>153.86814830039035</c:v>
                </c:pt>
                <c:pt idx="15">
                  <c:v>154.34265838821472</c:v>
                </c:pt>
                <c:pt idx="16">
                  <c:v>154.81616269815302</c:v>
                </c:pt>
                <c:pt idx="17">
                  <c:v>155.28864287428797</c:v>
                </c:pt>
                <c:pt idx="18">
                  <c:v>155.76008050803392</c:v>
                </c:pt>
                <c:pt idx="19">
                  <c:v>156.23045713965507</c:v>
                </c:pt>
                <c:pt idx="20">
                  <c:v>156.6997542598057</c:v>
                </c:pt>
                <c:pt idx="21">
                  <c:v>157.03637377924846</c:v>
                </c:pt>
                <c:pt idx="22">
                  <c:v>157.23992346620861</c:v>
                </c:pt>
                <c:pt idx="23">
                  <c:v>157.44179978877344</c:v>
                </c:pt>
                <c:pt idx="24">
                  <c:v>157.64199163585587</c:v>
                </c:pt>
                <c:pt idx="25">
                  <c:v>157.84048795976662</c:v>
                </c:pt>
                <c:pt idx="26">
                  <c:v>158.03727777759514</c:v>
                </c:pt>
                <c:pt idx="27">
                  <c:v>158.23235004076426</c:v>
                </c:pt>
                <c:pt idx="28">
                  <c:v>158.42569374011831</c:v>
                </c:pt>
                <c:pt idx="29">
                  <c:v>158.61729807078032</c:v>
                </c:pt>
                <c:pt idx="30">
                  <c:v>158.80715229877342</c:v>
                </c:pt>
                <c:pt idx="31">
                  <c:v>158.99524576235007</c:v>
                </c:pt>
                <c:pt idx="32">
                  <c:v>159.18156787332197</c:v>
                </c:pt>
                <c:pt idx="33">
                  <c:v>159.3661081183914</c:v>
                </c:pt>
                <c:pt idx="34">
                  <c:v>159.54885606048404</c:v>
                </c:pt>
                <c:pt idx="35">
                  <c:v>159.72980134008208</c:v>
                </c:pt>
                <c:pt idx="36">
                  <c:v>159.9089336765567</c:v>
                </c:pt>
                <c:pt idx="37">
                  <c:v>160.08624286950007</c:v>
                </c:pt>
                <c:pt idx="38">
                  <c:v>160.26171880005549</c:v>
                </c:pt>
                <c:pt idx="39">
                  <c:v>160.43535143224602</c:v>
                </c:pt>
                <c:pt idx="40">
                  <c:v>160.60713081430004</c:v>
                </c:pt>
                <c:pt idx="41">
                  <c:v>160.67443473197085</c:v>
                </c:pt>
                <c:pt idx="42">
                  <c:v>160.63698324725019</c:v>
                </c:pt>
                <c:pt idx="43">
                  <c:v>160.59727782772316</c:v>
                </c:pt>
                <c:pt idx="44">
                  <c:v>160.55531677772558</c:v>
                </c:pt>
                <c:pt idx="45">
                  <c:v>160.51109854981061</c:v>
                </c:pt>
                <c:pt idx="46">
                  <c:v>160.46462174516412</c:v>
                </c:pt>
                <c:pt idx="47">
                  <c:v>160.41588511400079</c:v>
                </c:pt>
                <c:pt idx="48">
                  <c:v>160.36488755593993</c:v>
                </c:pt>
                <c:pt idx="49">
                  <c:v>160.31162812036189</c:v>
                </c:pt>
                <c:pt idx="50">
                  <c:v>160.25610600674409</c:v>
                </c:pt>
                <c:pt idx="51">
                  <c:v>160.19832056497665</c:v>
                </c:pt>
                <c:pt idx="52">
                  <c:v>160.13827129565766</c:v>
                </c:pt>
                <c:pt idx="53">
                  <c:v>160.07595785036781</c:v>
                </c:pt>
                <c:pt idx="54">
                  <c:v>160.01138003192435</c:v>
                </c:pt>
                <c:pt idx="55">
                  <c:v>159.94453779461375</c:v>
                </c:pt>
                <c:pt idx="56">
                  <c:v>159.87543124440381</c:v>
                </c:pt>
                <c:pt idx="57">
                  <c:v>159.80406063913432</c:v>
                </c:pt>
                <c:pt idx="58">
                  <c:v>159.73042638868651</c:v>
                </c:pt>
                <c:pt idx="59">
                  <c:v>159.65452905513109</c:v>
                </c:pt>
                <c:pt idx="60">
                  <c:v>159.57636935285498</c:v>
                </c:pt>
                <c:pt idx="61">
                  <c:v>159.49594814866626</c:v>
                </c:pt>
                <c:pt idx="62">
                  <c:v>159.41326646187784</c:v>
                </c:pt>
                <c:pt idx="63">
                  <c:v>159.32832546436899</c:v>
                </c:pt>
                <c:pt idx="64">
                  <c:v>159.2411264806255</c:v>
                </c:pt>
                <c:pt idx="65">
                  <c:v>159.15167098775785</c:v>
                </c:pt>
                <c:pt idx="66">
                  <c:v>159.05996061549729</c:v>
                </c:pt>
                <c:pt idx="67">
                  <c:v>158.96599714617074</c:v>
                </c:pt>
                <c:pt idx="68">
                  <c:v>158.86978251465263</c:v>
                </c:pt>
                <c:pt idx="69">
                  <c:v>158.771318808296</c:v>
                </c:pt>
                <c:pt idx="70">
                  <c:v>158.6706082668405</c:v>
                </c:pt>
                <c:pt idx="71">
                  <c:v>158.56765328229906</c:v>
                </c:pt>
                <c:pt idx="72">
                  <c:v>158.46245639882224</c:v>
                </c:pt>
                <c:pt idx="73">
                  <c:v>158.35502031254066</c:v>
                </c:pt>
                <c:pt idx="74">
                  <c:v>158.24534787138526</c:v>
                </c:pt>
                <c:pt idx="75">
                  <c:v>158.13344207488581</c:v>
                </c:pt>
                <c:pt idx="76">
                  <c:v>158.01930607394689</c:v>
                </c:pt>
                <c:pt idx="77">
                  <c:v>157.90294317060253</c:v>
                </c:pt>
                <c:pt idx="78">
                  <c:v>157.7843568177482</c:v>
                </c:pt>
                <c:pt idx="79">
                  <c:v>157.66355061885142</c:v>
                </c:pt>
                <c:pt idx="80">
                  <c:v>157.5405283276402</c:v>
                </c:pt>
                <c:pt idx="81">
                  <c:v>157.31056827070699</c:v>
                </c:pt>
                <c:pt idx="82">
                  <c:v>156.97346150648244</c:v>
                </c:pt>
                <c:pt idx="83">
                  <c:v>156.63389996486583</c:v>
                </c:pt>
                <c:pt idx="84">
                  <c:v>156.29189794744607</c:v>
                </c:pt>
                <c:pt idx="85">
                  <c:v>155.94746991713362</c:v>
                </c:pt>
                <c:pt idx="86">
                  <c:v>155.60063049616781</c:v>
                </c:pt>
                <c:pt idx="87">
                  <c:v>155.25139446410245</c:v>
                </c:pt>
                <c:pt idx="88">
                  <c:v>154.89977675576867</c:v>
                </c:pt>
                <c:pt idx="89">
                  <c:v>154.54579245921656</c:v>
                </c:pt>
                <c:pt idx="90">
                  <c:v>154.18945681363593</c:v>
                </c:pt>
                <c:pt idx="91">
                  <c:v>153.78445239746785</c:v>
                </c:pt>
                <c:pt idx="92">
                  <c:v>153.33070975907418</c:v>
                </c:pt>
                <c:pt idx="93">
                  <c:v>152.8745692600591</c:v>
                </c:pt>
                <c:pt idx="94">
                  <c:v>152.41605151952726</c:v>
                </c:pt>
                <c:pt idx="95">
                  <c:v>151.95517729178349</c:v>
                </c:pt>
                <c:pt idx="96">
                  <c:v>151.49196746332666</c:v>
                </c:pt>
                <c:pt idx="97">
                  <c:v>151.02644304983002</c:v>
                </c:pt>
                <c:pt idx="98">
                  <c:v>150.55862519310855</c:v>
                </c:pt>
                <c:pt idx="99">
                  <c:v>150.08853515807482</c:v>
                </c:pt>
                <c:pt idx="100">
                  <c:v>149.61619432968331</c:v>
                </c:pt>
                <c:pt idx="101">
                  <c:v>149.13420352219993</c:v>
                </c:pt>
                <c:pt idx="102">
                  <c:v>148.64257232116108</c:v>
                </c:pt>
                <c:pt idx="103">
                  <c:v>148.14874322938977</c:v>
                </c:pt>
                <c:pt idx="104">
                  <c:v>147.65273886453056</c:v>
                </c:pt>
                <c:pt idx="105">
                  <c:v>147.15458194686769</c:v>
                </c:pt>
                <c:pt idx="106">
                  <c:v>146.65429529608599</c:v>
                </c:pt>
                <c:pt idx="107">
                  <c:v>146.15190182802743</c:v>
                </c:pt>
                <c:pt idx="108">
                  <c:v>145.64742455144349</c:v>
                </c:pt>
                <c:pt idx="109">
                  <c:v>145.14088656474468</c:v>
                </c:pt>
                <c:pt idx="110">
                  <c:v>144.63231105274724</c:v>
                </c:pt>
                <c:pt idx="111">
                  <c:v>144.20727084072723</c:v>
                </c:pt>
                <c:pt idx="112">
                  <c:v>143.86591009280022</c:v>
                </c:pt>
                <c:pt idx="113">
                  <c:v>143.52268641186694</c:v>
                </c:pt>
                <c:pt idx="114">
                  <c:v>143.17761478441957</c:v>
                </c:pt>
                <c:pt idx="115">
                  <c:v>142.83071029119978</c:v>
                </c:pt>
                <c:pt idx="116">
                  <c:v>142.48198810527771</c:v>
                </c:pt>
                <c:pt idx="117">
                  <c:v>142.13146349012234</c:v>
                </c:pt>
                <c:pt idx="118">
                  <c:v>141.77915179766435</c:v>
                </c:pt>
                <c:pt idx="119">
                  <c:v>141.42506846635175</c:v>
                </c:pt>
                <c:pt idx="120">
                  <c:v>141.06922901919839</c:v>
                </c:pt>
                <c:pt idx="121">
                  <c:v>140.56957354796219</c:v>
                </c:pt>
                <c:pt idx="122">
                  <c:v>139.92594269897944</c:v>
                </c:pt>
                <c:pt idx="123">
                  <c:v>139.28047873076022</c:v>
                </c:pt>
                <c:pt idx="124">
                  <c:v>138.63321193435138</c:v>
                </c:pt>
                <c:pt idx="125">
                  <c:v>137.98417261531682</c:v>
                </c:pt>
                <c:pt idx="126">
                  <c:v>137.3333910895127</c:v>
                </c:pt>
                <c:pt idx="127">
                  <c:v>136.68089767888532</c:v>
                </c:pt>
                <c:pt idx="128">
                  <c:v>136.02672270729266</c:v>
                </c:pt>
                <c:pt idx="129">
                  <c:v>135.37089649635001</c:v>
                </c:pt>
                <c:pt idx="130">
                  <c:v>134.7134493613006</c:v>
                </c:pt>
                <c:pt idx="131">
                  <c:v>134.0171692930887</c:v>
                </c:pt>
                <c:pt idx="132">
                  <c:v>133.28204961048613</c:v>
                </c:pt>
                <c:pt idx="133">
                  <c:v>132.54538371958671</c:v>
                </c:pt>
                <c:pt idx="134">
                  <c:v>131.80720592969885</c:v>
                </c:pt>
                <c:pt idx="135">
                  <c:v>131.06755049659239</c:v>
                </c:pt>
                <c:pt idx="136">
                  <c:v>130.32645161790526</c:v>
                </c:pt>
                <c:pt idx="137">
                  <c:v>129.58394342859316</c:v>
                </c:pt>
                <c:pt idx="138">
                  <c:v>128.84005999642233</c:v>
                </c:pt>
                <c:pt idx="139">
                  <c:v>128.09483531750757</c:v>
                </c:pt>
                <c:pt idx="140">
                  <c:v>127.34830331189514</c:v>
                </c:pt>
                <c:pt idx="141">
                  <c:v>126.15466346611282</c:v>
                </c:pt>
                <c:pt idx="142">
                  <c:v>124.51362437904478</c:v>
                </c:pt>
                <c:pt idx="143">
                  <c:v>122.87140193569748</c:v>
                </c:pt>
                <c:pt idx="144">
                  <c:v>121.22808893663165</c:v>
                </c:pt>
                <c:pt idx="145">
                  <c:v>119.58377746156063</c:v>
                </c:pt>
                <c:pt idx="146">
                  <c:v>117.9385588550453</c:v>
                </c:pt>
                <c:pt idx="147">
                  <c:v>116.29252371256169</c:v>
                </c:pt>
                <c:pt idx="148">
                  <c:v>114.64576186694261</c:v>
                </c:pt>
                <c:pt idx="149">
                  <c:v>112.99836237519361</c:v>
                </c:pt>
                <c:pt idx="150">
                  <c:v>111.3504135056847</c:v>
                </c:pt>
                <c:pt idx="151">
                  <c:v>109.70200272571748</c:v>
                </c:pt>
                <c:pt idx="152">
                  <c:v>108.0532166894689</c:v>
                </c:pt>
                <c:pt idx="153">
                  <c:v>106.4041412263107</c:v>
                </c:pt>
                <c:pt idx="154">
                  <c:v>104.75486132950546</c:v>
                </c:pt>
                <c:pt idx="155">
                  <c:v>103.10546114527787</c:v>
                </c:pt>
                <c:pt idx="156">
                  <c:v>99.341221895543683</c:v>
                </c:pt>
                <c:pt idx="157">
                  <c:v>93.462206974741193</c:v>
                </c:pt>
                <c:pt idx="158">
                  <c:v>87.586113562541954</c:v>
                </c:pt>
                <c:pt idx="159">
                  <c:v>81.71358033015963</c:v>
                </c:pt>
                <c:pt idx="160">
                  <c:v>75.845234435798503</c:v>
                </c:pt>
                <c:pt idx="161">
                  <c:v>67.291992284843857</c:v>
                </c:pt>
                <c:pt idx="162">
                  <c:v>56.056628732731994</c:v>
                </c:pt>
                <c:pt idx="163">
                  <c:v>45.091098177169627</c:v>
                </c:pt>
                <c:pt idx="164">
                  <c:v>34.397020608651488</c:v>
                </c:pt>
                <c:pt idx="165">
                  <c:v>26.289077328654091</c:v>
                </c:pt>
                <c:pt idx="166">
                  <c:v>20.764720587774999</c:v>
                </c:pt>
                <c:pt idx="167">
                  <c:v>13.29596428689457</c:v>
                </c:pt>
                <c:pt idx="168">
                  <c:v>5.300503275978377</c:v>
                </c:pt>
                <c:pt idx="169">
                  <c:v>-6.7146251105984502</c:v>
                </c:pt>
                <c:pt idx="170">
                  <c:v>-19.911725130784841</c:v>
                </c:pt>
                <c:pt idx="171">
                  <c:v>-24.339359620556824</c:v>
                </c:pt>
                <c:pt idx="172">
                  <c:v>-24.258614948739236</c:v>
                </c:pt>
                <c:pt idx="173">
                  <c:v>-24.178208780735524</c:v>
                </c:pt>
                <c:pt idx="174">
                  <c:v>-24.098139229488662</c:v>
                </c:pt>
                <c:pt idx="175">
                  <c:v>-24.018404421199104</c:v>
                </c:pt>
                <c:pt idx="176">
                  <c:v>-23.939002495212733</c:v>
                </c:pt>
                <c:pt idx="177">
                  <c:v>-23.859931603909931</c:v>
                </c:pt>
                <c:pt idx="178">
                  <c:v>-23.781189912595714</c:v>
                </c:pt>
                <c:pt idx="179">
                  <c:v>-23.702775599391074</c:v>
                </c:pt>
                <c:pt idx="180">
                  <c:v>-23.62468685512513</c:v>
                </c:pt>
                <c:pt idx="181">
                  <c:v>-23.54692188322861</c:v>
                </c:pt>
                <c:pt idx="182">
                  <c:v>-23.469478899628271</c:v>
                </c:pt>
                <c:pt idx="183">
                  <c:v>-23.392356132642249</c:v>
                </c:pt>
                <c:pt idx="184">
                  <c:v>-23.315551822876632</c:v>
                </c:pt>
                <c:pt idx="185">
                  <c:v>-23.239064223122888</c:v>
                </c:pt>
                <c:pt idx="186">
                  <c:v>-23.162891598256362</c:v>
                </c:pt>
                <c:pt idx="187">
                  <c:v>-23.087032225135726</c:v>
                </c:pt>
                <c:pt idx="188">
                  <c:v>-23.011484392503448</c:v>
                </c:pt>
                <c:pt idx="189">
                  <c:v>-22.936246400887203</c:v>
                </c:pt>
                <c:pt idx="190">
                  <c:v>-22.861316562502239</c:v>
                </c:pt>
                <c:pt idx="191">
                  <c:v>-22.786693201154669</c:v>
                </c:pt>
                <c:pt idx="192">
                  <c:v>-22.712374652145755</c:v>
                </c:pt>
                <c:pt idx="193">
                  <c:v>-22.638359262177065</c:v>
                </c:pt>
                <c:pt idx="194">
                  <c:v>-22.564645389256576</c:v>
                </c:pt>
                <c:pt idx="195">
                  <c:v>-22.491231402605617</c:v>
                </c:pt>
                <c:pt idx="196">
                  <c:v>-22.418115682566825</c:v>
                </c:pt>
                <c:pt idx="197">
                  <c:v>-22.345296620512887</c:v>
                </c:pt>
                <c:pt idx="198">
                  <c:v>-22.272772618756143</c:v>
                </c:pt>
                <c:pt idx="199">
                  <c:v>-22.200542090459173</c:v>
                </c:pt>
                <c:pt idx="200">
                  <c:v>-22.12860345954612</c:v>
                </c:pt>
                <c:pt idx="201">
                  <c:v>-22.05695516061488</c:v>
                </c:pt>
                <c:pt idx="202">
                  <c:v>-21.349507425910637</c:v>
                </c:pt>
                <c:pt idx="203">
                  <c:v>-20.670065761778009</c:v>
                </c:pt>
                <c:pt idx="204">
                  <c:v>-20.017173907961773</c:v>
                </c:pt>
                <c:pt idx="205">
                  <c:v>-19.389470172352162</c:v>
                </c:pt>
                <c:pt idx="206">
                  <c:v>-18.785680119832609</c:v>
                </c:pt>
                <c:pt idx="207">
                  <c:v>-18.204609915009836</c:v>
                </c:pt>
                <c:pt idx="208">
                  <c:v>-17.645140252622756</c:v>
                </c:pt>
                <c:pt idx="209">
                  <c:v>-17.106220816892613</c:v>
                </c:pt>
                <c:pt idx="210">
                  <c:v>-16.586865217617145</c:v>
                </c:pt>
                <c:pt idx="211">
                  <c:v>-16.086146356550067</c:v>
                </c:pt>
                <c:pt idx="212">
                  <c:v>-15.603192182652736</c:v>
                </c:pt>
                <c:pt idx="213">
                  <c:v>-15.137181799246557</c:v>
                </c:pt>
                <c:pt idx="214">
                  <c:v>-14.687341890012949</c:v>
                </c:pt>
                <c:pt idx="215">
                  <c:v>-14.252943434248708</c:v>
                </c:pt>
                <c:pt idx="216">
                  <c:v>-13.833298684846412</c:v>
                </c:pt>
                <c:pt idx="217">
                  <c:v>-13.427758385183283</c:v>
                </c:pt>
                <c:pt idx="218">
                  <c:v>-13.035709203509528</c:v>
                </c:pt>
                <c:pt idx="219">
                  <c:v>-12.656571365566933</c:v>
                </c:pt>
                <c:pt idx="220">
                  <c:v>-12.289796468073074</c:v>
                </c:pt>
                <c:pt idx="221">
                  <c:v>-11.934865457403159</c:v>
                </c:pt>
                <c:pt idx="222">
                  <c:v>-11.591286759316258</c:v>
                </c:pt>
                <c:pt idx="223">
                  <c:v>-11.258594546925568</c:v>
                </c:pt>
                <c:pt idx="224">
                  <c:v>-10.936347135323128</c:v>
                </c:pt>
                <c:pt idx="225">
                  <c:v>-10.624125492353699</c:v>
                </c:pt>
                <c:pt idx="226">
                  <c:v>-10.321531856005349</c:v>
                </c:pt>
                <c:pt idx="227">
                  <c:v>-10.028188449757675</c:v>
                </c:pt>
                <c:pt idx="228">
                  <c:v>-9.7437362880136078</c:v>
                </c:pt>
                <c:pt idx="229">
                  <c:v>-9.4678340644477252</c:v>
                </c:pt>
                <c:pt idx="230">
                  <c:v>-9.2001571167407441</c:v>
                </c:pt>
                <c:pt idx="231">
                  <c:v>-8.9403964617440685</c:v>
                </c:pt>
                <c:pt idx="232">
                  <c:v>-8.6882578956374132</c:v>
                </c:pt>
                <c:pt idx="233">
                  <c:v>-8.443461154111036</c:v>
                </c:pt>
                <c:pt idx="234">
                  <c:v>-8.2057391280286254</c:v>
                </c:pt>
                <c:pt idx="235">
                  <c:v>-7.9748371304112373</c:v>
                </c:pt>
                <c:pt idx="236">
                  <c:v>-7.7505122109311166</c:v>
                </c:pt>
                <c:pt idx="237">
                  <c:v>-7.5325325144205761</c:v>
                </c:pt>
                <c:pt idx="238">
                  <c:v>-7.3206766801883862</c:v>
                </c:pt>
                <c:pt idx="239">
                  <c:v>-7.1147332791975115</c:v>
                </c:pt>
                <c:pt idx="240">
                  <c:v>-6.9145002863956995</c:v>
                </c:pt>
                <c:pt idx="241">
                  <c:v>-6.7197845857071448</c:v>
                </c:pt>
                <c:pt idx="242">
                  <c:v>-6.5304015053909286</c:v>
                </c:pt>
                <c:pt idx="243">
                  <c:v>-6.3461743816521485</c:v>
                </c:pt>
                <c:pt idx="244">
                  <c:v>-6.1669341485562628</c:v>
                </c:pt>
                <c:pt idx="245">
                  <c:v>-5.9925189524476874</c:v>
                </c:pt>
                <c:pt idx="246">
                  <c:v>-5.8227737892112339</c:v>
                </c:pt>
                <c:pt idx="247">
                  <c:v>-5.6575501628411109</c:v>
                </c:pt>
                <c:pt idx="248">
                  <c:v>-5.4967057638975989</c:v>
                </c:pt>
                <c:pt idx="249">
                  <c:v>-5.3401041665374249</c:v>
                </c:pt>
                <c:pt idx="250">
                  <c:v>-5.1876145429010361</c:v>
                </c:pt>
                <c:pt idx="251">
                  <c:v>-5.0391113937291996</c:v>
                </c:pt>
                <c:pt idx="252">
                  <c:v>-4.8944742941633717</c:v>
                </c:pt>
                <c:pt idx="253">
                  <c:v>-4.7535876537596939</c:v>
                </c:pt>
                <c:pt idx="254">
                  <c:v>-4.616340489815923</c:v>
                </c:pt>
                <c:pt idx="255">
                  <c:v>-4.4826262131744778</c:v>
                </c:pt>
                <c:pt idx="256">
                  <c:v>-4.3523424257237826</c:v>
                </c:pt>
                <c:pt idx="257">
                  <c:v>-4.2253907288743644</c:v>
                </c:pt>
                <c:pt idx="258">
                  <c:v>-4.1016765423363486</c:v>
                </c:pt>
                <c:pt idx="259">
                  <c:v>-3.9811089325712907</c:v>
                </c:pt>
                <c:pt idx="260">
                  <c:v>-3.8636004503340953</c:v>
                </c:pt>
                <c:pt idx="261">
                  <c:v>-3.7490669767602731</c:v>
                </c:pt>
                <c:pt idx="262">
                  <c:v>-3.6374275774905405</c:v>
                </c:pt>
                <c:pt idx="263">
                  <c:v>-3.5286043643584497</c:v>
                </c:pt>
                <c:pt idx="264">
                  <c:v>-3.4225223641983482</c:v>
                </c:pt>
                <c:pt idx="265">
                  <c:v>-3.3191093943598711</c:v>
                </c:pt>
                <c:pt idx="266">
                  <c:v>-3.2182959445423012</c:v>
                </c:pt>
                <c:pt idx="267">
                  <c:v>-3.1200150645870601</c:v>
                </c:pt>
                <c:pt idx="268">
                  <c:v>-3.0242022578899368</c:v>
                </c:pt>
                <c:pt idx="269">
                  <c:v>-2.930795380116157</c:v>
                </c:pt>
                <c:pt idx="270">
                  <c:v>-2.8397345429215575</c:v>
                </c:pt>
                <c:pt idx="271">
                  <c:v>-2.7509620224017093</c:v>
                </c:pt>
                <c:pt idx="272">
                  <c:v>-2.6644221720082815</c:v>
                </c:pt>
                <c:pt idx="273">
                  <c:v>-2.5800613396880347</c:v>
                </c:pt>
                <c:pt idx="274">
                  <c:v>-2.4978277890149045</c:v>
                </c:pt>
                <c:pt idx="275">
                  <c:v>-2.4176716240996829</c:v>
                </c:pt>
                <c:pt idx="276">
                  <c:v>-2.3395447180748477</c:v>
                </c:pt>
                <c:pt idx="277">
                  <c:v>-2.2634006449642996</c:v>
                </c:pt>
                <c:pt idx="278">
                  <c:v>-2.1891946147591308</c:v>
                </c:pt>
                <c:pt idx="279">
                  <c:v>-2.1168834115311683</c:v>
                </c:pt>
                <c:pt idx="280">
                  <c:v>-2.0464253344259409</c:v>
                </c:pt>
                <c:pt idx="281">
                  <c:v>-1.9777801413859739</c:v>
                </c:pt>
                <c:pt idx="282">
                  <c:v>-1.9109089954639717</c:v>
                </c:pt>
                <c:pt idx="283">
                  <c:v>-1.8457744135934966</c:v>
                </c:pt>
                <c:pt idx="284">
                  <c:v>-1.7823402176923475</c:v>
                </c:pt>
                <c:pt idx="285">
                  <c:v>-1.7205714879808498</c:v>
                </c:pt>
                <c:pt idx="286">
                  <c:v>-1.6604345184039155</c:v>
                </c:pt>
                <c:pt idx="287">
                  <c:v>-1.6018967740518422</c:v>
                </c:pt>
                <c:pt idx="288">
                  <c:v>-1.5449268504806477</c:v>
                </c:pt>
                <c:pt idx="289">
                  <c:v>-1.4894944348380577</c:v>
                </c:pt>
                <c:pt idx="290">
                  <c:v>-1.4355702687063518</c:v>
                </c:pt>
                <c:pt idx="291">
                  <c:v>-1.3831261125779286</c:v>
                </c:pt>
                <c:pt idx="292">
                  <c:v>-1.3321347118838549</c:v>
                </c:pt>
                <c:pt idx="293">
                  <c:v>-1.282569764499746</c:v>
                </c:pt>
                <c:pt idx="294">
                  <c:v>-1.2344058896571017</c:v>
                </c:pt>
                <c:pt idx="295">
                  <c:v>-1.1876185981917999</c:v>
                </c:pt>
                <c:pt idx="296">
                  <c:v>-1.1421842640646569</c:v>
                </c:pt>
                <c:pt idx="297">
                  <c:v>-1.0980800970920583</c:v>
                </c:pt>
                <c:pt idx="298">
                  <c:v>-1.0552841168273901</c:v>
                </c:pt>
                <c:pt idx="299">
                  <c:v>-1.0137751275366038</c:v>
                </c:pt>
                <c:pt idx="300">
                  <c:v>-0.97353269421352839</c:v>
                </c:pt>
                <c:pt idx="301">
                  <c:v>-0.93453711958269003</c:v>
                </c:pt>
                <c:pt idx="302">
                  <c:v>-0.89676942203925525</c:v>
                </c:pt>
                <c:pt idx="303">
                  <c:v>-0.86021131447738608</c:v>
                </c:pt>
                <c:pt idx="304">
                  <c:v>-0.8248451839597426</c:v>
                </c:pt>
                <c:pt idx="305">
                  <c:v>-0.79065407218207984</c:v>
                </c:pt>
                <c:pt idx="306">
                  <c:v>-0.75762165668787984</c:v>
                </c:pt>
                <c:pt idx="307">
                  <c:v>-0.72573223278872467</c:v>
                </c:pt>
                <c:pt idx="308">
                  <c:v>-0.69497069614662121</c:v>
                </c:pt>
                <c:pt idx="309">
                  <c:v>-0.66532252597477282</c:v>
                </c:pt>
                <c:pt idx="310">
                  <c:v>-0.63677376881329362</c:v>
                </c:pt>
                <c:pt idx="311">
                  <c:v>-0.6093110228361196</c:v>
                </c:pt>
                <c:pt idx="312">
                  <c:v>-0.5829214226448316</c:v>
                </c:pt>
                <c:pt idx="313">
                  <c:v>-0.55759262450430203</c:v>
                </c:pt>
                <c:pt idx="314">
                  <c:v>-0.53331279197398396</c:v>
                </c:pt>
                <c:pt idx="315">
                  <c:v>-0.51007058188725196</c:v>
                </c:pt>
                <c:pt idx="316">
                  <c:v>-0.48785513062956842</c:v>
                </c:pt>
                <c:pt idx="317">
                  <c:v>-0.46665604066428429</c:v>
                </c:pt>
                <c:pt idx="318">
                  <c:v>-0.44646336725271257</c:v>
                </c:pt>
                <c:pt idx="319">
                  <c:v>-0.42726760531274394</c:v>
                </c:pt>
                <c:pt idx="320">
                  <c:v>-0.40905967635774854</c:v>
                </c:pt>
                <c:pt idx="321">
                  <c:v>-0.39183091545496884</c:v>
                </c:pt>
                <c:pt idx="322">
                  <c:v>-0.37557305814013114</c:v>
                </c:pt>
                <c:pt idx="323">
                  <c:v>-0.36027822722277897</c:v>
                </c:pt>
                <c:pt idx="324">
                  <c:v>-0.34593891941505062</c:v>
                </c:pt>
                <c:pt idx="325">
                  <c:v>-0.33254799171554716</c:v>
                </c:pt>
                <c:pt idx="326">
                  <c:v>-0.32009864747985878</c:v>
                </c:pt>
                <c:pt idx="327">
                  <c:v>-0.30858442211056764</c:v>
                </c:pt>
                <c:pt idx="328">
                  <c:v>-0.2979991683025317</c:v>
                </c:pt>
                <c:pt idx="329">
                  <c:v>-0.28833704078430483</c:v>
                </c:pt>
                <c:pt idx="330">
                  <c:v>-0.27959248050410329</c:v>
                </c:pt>
                <c:pt idx="331">
                  <c:v>-0.27176019821903596</c:v>
                </c:pt>
                <c:pt idx="332">
                  <c:v>-0.26483515745963204</c:v>
                </c:pt>
                <c:pt idx="333">
                  <c:v>-0.25881255685804827</c:v>
                </c:pt>
                <c:pt idx="334">
                  <c:v>-0.25368781184756778</c:v>
                </c:pt>
                <c:pt idx="335">
                  <c:v>-0.24945653576267854</c:v>
                </c:pt>
                <c:pt idx="336">
                  <c:v>-0.24611452039242881</c:v>
                </c:pt>
                <c:pt idx="337">
                  <c:v>-0.24365771606390479</c:v>
                </c:pt>
                <c:pt idx="338">
                  <c:v>-0.24208221135631616</c:v>
                </c:pt>
                <c:pt idx="339">
                  <c:v>-0.24138421256791814</c:v>
                </c:pt>
                <c:pt idx="340">
                  <c:v>-0.24156002307642516</c:v>
                </c:pt>
                <c:pt idx="341">
                  <c:v>-0.242606022747372</c:v>
                </c:pt>
                <c:pt idx="342">
                  <c:v>-0.24451864755303404</c:v>
                </c:pt>
                <c:pt idx="343">
                  <c:v>-0.24729436956639664</c:v>
                </c:pt>
                <c:pt idx="344">
                  <c:v>-0.25092967749012524</c:v>
                </c:pt>
                <c:pt idx="345">
                  <c:v>-0.25542105786990005</c:v>
                </c:pt>
                <c:pt idx="346">
                  <c:v>-0.26076497712565416</c:v>
                </c:pt>
                <c:pt idx="347">
                  <c:v>-0.26695786451437908</c:v>
                </c:pt>
                <c:pt idx="348">
                  <c:v>-0.2739960961156046</c:v>
                </c:pt>
                <c:pt idx="349">
                  <c:v>-0.28187597990687713</c:v>
                </c:pt>
                <c:pt idx="350">
                  <c:v>-0.29059374197289045</c:v>
                </c:pt>
                <c:pt idx="351">
                  <c:v>-0.30014551386952271</c:v>
                </c:pt>
                <c:pt idx="352">
                  <c:v>-0.31052732114379133</c:v>
                </c:pt>
                <c:pt idx="353">
                  <c:v>-0.32173507299324089</c:v>
                </c:pt>
                <c:pt idx="354">
                  <c:v>-0.33376455303382879</c:v>
                </c:pt>
                <c:pt idx="355">
                  <c:v>-0.34661141113404514</c:v>
                </c:pt>
                <c:pt idx="356">
                  <c:v>-0.36027115626464412</c:v>
                </c:pt>
                <c:pt idx="357">
                  <c:v>-0.37473915030771821</c:v>
                </c:pt>
                <c:pt idx="358">
                  <c:v>-0.39001060276555516</c:v>
                </c:pt>
                <c:pt idx="359">
                  <c:v>-0.40608056630838696</c:v>
                </c:pt>
                <c:pt idx="360">
                  <c:v>-0.42294393310039385</c:v>
                </c:pt>
                <c:pt idx="361">
                  <c:v>-0.44059543184477967</c:v>
                </c:pt>
                <c:pt idx="362">
                  <c:v>-0.45902962549107901</c:v>
                </c:pt>
                <c:pt idx="363">
                  <c:v>-0.47824090955080012</c:v>
                </c:pt>
                <c:pt idx="364">
                  <c:v>-0.49822351097082512</c:v>
                </c:pt>
                <c:pt idx="365">
                  <c:v>-0.518971487517496</c:v>
                </c:pt>
                <c:pt idx="366">
                  <c:v>-0.54047872762787152</c:v>
                </c:pt>
                <c:pt idx="367">
                  <c:v>-0.56273895068813329</c:v>
                </c:pt>
                <c:pt idx="368">
                  <c:v>-0.58574570770249124</c:v>
                </c:pt>
                <c:pt idx="369">
                  <c:v>-0.6094923823191184</c:v>
                </c:pt>
                <c:pt idx="370">
                  <c:v>-0.63397219218261902</c:v>
                </c:pt>
                <c:pt idx="371">
                  <c:v>-0.65917819058528182</c:v>
                </c:pt>
                <c:pt idx="372">
                  <c:v>-0.68510326839188251</c:v>
                </c:pt>
                <c:pt idx="373">
                  <c:v>-0.71174015621508202</c:v>
                </c:pt>
                <c:pt idx="374">
                  <c:v>-0.73908142682054312</c:v>
                </c:pt>
                <c:pt idx="375">
                  <c:v>-0.76711949774273958</c:v>
                </c:pt>
                <c:pt idx="376">
                  <c:v>-0.79584663409410072</c:v>
                </c:pt>
                <c:pt idx="377">
                  <c:v>-0.8252549515516282</c:v>
                </c:pt>
                <c:pt idx="378">
                  <c:v>-0.85533641950645356</c:v>
                </c:pt>
                <c:pt idx="379">
                  <c:v>-0.88608286436298256</c:v>
                </c:pt>
                <c:pt idx="380">
                  <c:v>-0.91748597297532941</c:v>
                </c:pt>
                <c:pt idx="381">
                  <c:v>-0.94953729620968086</c:v>
                </c:pt>
                <c:pt idx="382">
                  <c:v>-0.9822282526220657</c:v>
                </c:pt>
                <c:pt idx="383">
                  <c:v>-1.0155501322417353</c:v>
                </c:pt>
                <c:pt idx="384">
                  <c:v>-1.0494941004510239</c:v>
                </c:pt>
                <c:pt idx="385">
                  <c:v>-1.0840512019531501</c:v>
                </c:pt>
                <c:pt idx="386">
                  <c:v>-1.1192123648199304</c:v>
                </c:pt>
                <c:pt idx="387">
                  <c:v>-1.1549684046118427</c:v>
                </c:pt>
                <c:pt idx="388">
                  <c:v>-1.1913100285633165</c:v>
                </c:pt>
                <c:pt idx="389">
                  <c:v>-1.2282278398264626</c:v>
                </c:pt>
                <c:pt idx="390">
                  <c:v>-1.2657123417668337</c:v>
                </c:pt>
                <c:pt idx="391">
                  <c:v>-1.3037539423050772</c:v>
                </c:pt>
                <c:pt idx="392">
                  <c:v>-1.3423429582986413</c:v>
                </c:pt>
                <c:pt idx="393">
                  <c:v>-1.3814696199579339</c:v>
                </c:pt>
                <c:pt idx="394">
                  <c:v>-1.4211240752915584</c:v>
                </c:pt>
                <c:pt idx="395">
                  <c:v>-1.4612963945754933</c:v>
                </c:pt>
                <c:pt idx="396">
                  <c:v>-1.5019765748412226</c:v>
                </c:pt>
                <c:pt idx="397">
                  <c:v>-1.5431545443780583</c:v>
                </c:pt>
                <c:pt idx="398">
                  <c:v>-1.5848201672450322</c:v>
                </c:pt>
                <c:pt idx="399">
                  <c:v>-1.6269632477879028</c:v>
                </c:pt>
                <c:pt idx="400">
                  <c:v>-1.6695735351569763</c:v>
                </c:pt>
                <c:pt idx="401">
                  <c:v>-1.712640727821567</c:v>
                </c:pt>
                <c:pt idx="402">
                  <c:v>-1.7561544780770821</c:v>
                </c:pt>
                <c:pt idx="403">
                  <c:v>-1.8001043965408141</c:v>
                </c:pt>
                <c:pt idx="404">
                  <c:v>-1.8444800566326791</c:v>
                </c:pt>
                <c:pt idx="405">
                  <c:v>-1.8892709990372314</c:v>
                </c:pt>
                <c:pt idx="406">
                  <c:v>-1.9344667361434318</c:v>
                </c:pt>
                <c:pt idx="407">
                  <c:v>-1.9800567564587268</c:v>
                </c:pt>
                <c:pt idx="408">
                  <c:v>-2.0260305289941294</c:v>
                </c:pt>
                <c:pt idx="409">
                  <c:v>-2.0723775076171203</c:v>
                </c:pt>
                <c:pt idx="410">
                  <c:v>-2.1190871353692198</c:v>
                </c:pt>
                <c:pt idx="411">
                  <c:v>-2.1661488487453013</c:v>
                </c:pt>
                <c:pt idx="412">
                  <c:v>-2.2135520819317045</c:v>
                </c:pt>
                <c:pt idx="413">
                  <c:v>-2.261286271000412</c:v>
                </c:pt>
                <c:pt idx="414">
                  <c:v>-2.3093408580565655</c:v>
                </c:pt>
                <c:pt idx="415">
                  <c:v>-2.3577052953367734</c:v>
                </c:pt>
                <c:pt idx="416">
                  <c:v>-2.4063690492557313</c:v>
                </c:pt>
                <c:pt idx="417">
                  <c:v>-2.4553216043987485</c:v>
                </c:pt>
                <c:pt idx="418">
                  <c:v>-2.5045524674579482</c:v>
                </c:pt>
                <c:pt idx="419">
                  <c:v>-2.5540511711099172</c:v>
                </c:pt>
                <c:pt idx="420">
                  <c:v>-2.6038072778327668</c:v>
                </c:pt>
                <c:pt idx="421">
                  <c:v>-2.6538103836606011</c:v>
                </c:pt>
                <c:pt idx="422">
                  <c:v>-2.7040501218735056</c:v>
                </c:pt>
                <c:pt idx="423">
                  <c:v>-2.7545161666212943</c:v>
                </c:pt>
                <c:pt idx="424">
                  <c:v>-2.8051982364793044</c:v>
                </c:pt>
                <c:pt idx="425">
                  <c:v>-2.8560860979346483</c:v>
                </c:pt>
                <c:pt idx="426">
                  <c:v>-2.9071695688014381</c:v>
                </c:pt>
                <c:pt idx="427">
                  <c:v>-2.9584385215635685</c:v>
                </c:pt>
                <c:pt idx="428">
                  <c:v>-3.0098828866437457</c:v>
                </c:pt>
                <c:pt idx="429">
                  <c:v>-3.0614926555975477</c:v>
                </c:pt>
                <c:pt idx="430">
                  <c:v>-3.1132578842314098</c:v>
                </c:pt>
                <c:pt idx="431">
                  <c:v>-3.1651686956434659</c:v>
                </c:pt>
                <c:pt idx="432">
                  <c:v>-3.2172152831863383</c:v>
                </c:pt>
                <c:pt idx="433">
                  <c:v>-3.2693879133509967</c:v>
                </c:pt>
                <c:pt idx="434">
                  <c:v>-3.3216769285709344</c:v>
                </c:pt>
                <c:pt idx="435">
                  <c:v>-3.3740727499459662</c:v>
                </c:pt>
                <c:pt idx="436">
                  <c:v>-3.4265658798850809</c:v>
                </c:pt>
                <c:pt idx="437">
                  <c:v>-3.4791469046678047</c:v>
                </c:pt>
                <c:pt idx="438">
                  <c:v>-3.5318064969236787</c:v>
                </c:pt>
                <c:pt idx="439">
                  <c:v>-3.5845354180294762</c:v>
                </c:pt>
                <c:pt idx="440">
                  <c:v>-3.6373245204239235</c:v>
                </c:pt>
                <c:pt idx="441">
                  <c:v>-3.6901647498397097</c:v>
                </c:pt>
                <c:pt idx="442">
                  <c:v>-3.7430471474526876</c:v>
                </c:pt>
                <c:pt idx="443">
                  <c:v>-3.7959628519482367</c:v>
                </c:pt>
                <c:pt idx="444">
                  <c:v>-3.8489031015048001</c:v>
                </c:pt>
                <c:pt idx="445">
                  <c:v>-3.9018592356947344</c:v>
                </c:pt>
                <c:pt idx="446">
                  <c:v>-3.9548226973026352</c:v>
                </c:pt>
                <c:pt idx="447">
                  <c:v>-4.0077850340613814</c:v>
                </c:pt>
                <c:pt idx="448">
                  <c:v>-4.0607379003062212</c:v>
                </c:pt>
                <c:pt idx="449">
                  <c:v>-4.1136730585472856</c:v>
                </c:pt>
                <c:pt idx="450">
                  <c:v>-4.1665823809609384</c:v>
                </c:pt>
                <c:pt idx="451">
                  <c:v>-4.2194578508004934</c:v>
                </c:pt>
                <c:pt idx="452">
                  <c:v>-4.2722915637268564</c:v>
                </c:pt>
                <c:pt idx="453">
                  <c:v>-4.3250757290596722</c:v>
                </c:pt>
                <c:pt idx="454">
                  <c:v>-4.3778026709497011</c:v>
                </c:pt>
                <c:pt idx="455">
                  <c:v>-4.4304648294731086</c:v>
                </c:pt>
                <c:pt idx="456">
                  <c:v>-4.4830547616484582</c:v>
                </c:pt>
                <c:pt idx="457">
                  <c:v>-4.535565142377207</c:v>
                </c:pt>
                <c:pt idx="458">
                  <c:v>-4.5879887653086149</c:v>
                </c:pt>
                <c:pt idx="459">
                  <c:v>-4.6403185436299532</c:v>
                </c:pt>
                <c:pt idx="460">
                  <c:v>-4.6925475107829406</c:v>
                </c:pt>
                <c:pt idx="461">
                  <c:v>-4.7446688211074814</c:v>
                </c:pt>
                <c:pt idx="462">
                  <c:v>-4.7966757504136419</c:v>
                </c:pt>
                <c:pt idx="463">
                  <c:v>-4.8485616964830269</c:v>
                </c:pt>
                <c:pt idx="464">
                  <c:v>-4.9003201795006044</c:v>
                </c:pt>
                <c:pt idx="465">
                  <c:v>-4.9519448424181087</c:v>
                </c:pt>
                <c:pt idx="466">
                  <c:v>-5.0034294512502697</c:v>
                </c:pt>
                <c:pt idx="467">
                  <c:v>-5.054767895304944</c:v>
                </c:pt>
                <c:pt idx="468">
                  <c:v>-5.1059541873484893</c:v>
                </c:pt>
                <c:pt idx="469">
                  <c:v>-5.1569824637075294</c:v>
                </c:pt>
                <c:pt idx="470">
                  <c:v>-5.2078469843084694</c:v>
                </c:pt>
                <c:pt idx="471">
                  <c:v>-5.2585421326559754</c:v>
                </c:pt>
                <c:pt idx="472">
                  <c:v>-5.3090624157517885</c:v>
                </c:pt>
                <c:pt idx="473">
                  <c:v>-5.3594024639551439</c:v>
                </c:pt>
                <c:pt idx="474">
                  <c:v>-5.4095570307862131</c:v>
                </c:pt>
                <c:pt idx="475">
                  <c:v>-5.4595209926738351</c:v>
                </c:pt>
                <c:pt idx="476">
                  <c:v>-5.5092893486489798</c:v>
                </c:pt>
                <c:pt idx="477">
                  <c:v>-5.5588572199852946</c:v>
                </c:pt>
                <c:pt idx="478">
                  <c:v>-5.6082198497881128</c:v>
                </c:pt>
                <c:pt idx="479">
                  <c:v>-5.6573726025333126</c:v>
                </c:pt>
                <c:pt idx="480">
                  <c:v>-5.7063109635574882</c:v>
                </c:pt>
                <c:pt idx="481">
                  <c:v>-5.7550305385007299</c:v>
                </c:pt>
                <c:pt idx="482">
                  <c:v>-5.8035270527035365</c:v>
                </c:pt>
                <c:pt idx="483">
                  <c:v>-5.851796350559173</c:v>
                </c:pt>
                <c:pt idx="484">
                  <c:v>-5.8998343948229417</c:v>
                </c:pt>
                <c:pt idx="485">
                  <c:v>-5.9476372658797336</c:v>
                </c:pt>
                <c:pt idx="486">
                  <c:v>-5.9952011609712983</c:v>
                </c:pt>
                <c:pt idx="487">
                  <c:v>-6.0425223933846013</c:v>
                </c:pt>
                <c:pt idx="488">
                  <c:v>-6.0895973916026893</c:v>
                </c:pt>
                <c:pt idx="489">
                  <c:v>-6.136422698419385</c:v>
                </c:pt>
                <c:pt idx="490">
                  <c:v>-6.182994970019327</c:v>
                </c:pt>
                <c:pt idx="491">
                  <c:v>-6.2293109750245375</c:v>
                </c:pt>
                <c:pt idx="492">
                  <c:v>-6.2753675935090687</c:v>
                </c:pt>
                <c:pt idx="493">
                  <c:v>-6.3211618159829017</c:v>
                </c:pt>
                <c:pt idx="494">
                  <c:v>-6.3666907423465968</c:v>
                </c:pt>
                <c:pt idx="495">
                  <c:v>-6.4119515808178669</c:v>
                </c:pt>
                <c:pt idx="496">
                  <c:v>-6.4569416468315275</c:v>
                </c:pt>
                <c:pt idx="497">
                  <c:v>-6.501658361913992</c:v>
                </c:pt>
                <c:pt idx="498">
                  <c:v>-6.5460992525337121</c:v>
                </c:pt>
                <c:pt idx="499">
                  <c:v>-6.590261948928692</c:v>
                </c:pt>
                <c:pt idx="500">
                  <c:v>-6.6341441839124791</c:v>
                </c:pt>
                <c:pt idx="501">
                  <c:v>-6.6777437916597222</c:v>
                </c:pt>
                <c:pt idx="502">
                  <c:v>-6.7210587064726219</c:v>
                </c:pt>
                <c:pt idx="503">
                  <c:v>-6.7640869615293555</c:v>
                </c:pt>
                <c:pt idx="504">
                  <c:v>-6.8068266876157679</c:v>
                </c:pt>
                <c:pt idx="505">
                  <c:v>-6.8492761118414087</c:v>
                </c:pt>
                <c:pt idx="506">
                  <c:v>-6.8914335563410454</c:v>
                </c:pt>
                <c:pt idx="507">
                  <c:v>-6.9332974369628166</c:v>
                </c:pt>
                <c:pt idx="508">
                  <c:v>-6.9748662619440971</c:v>
                </c:pt>
                <c:pt idx="509">
                  <c:v>-7.0161386305761235</c:v>
                </c:pt>
                <c:pt idx="510">
                  <c:v>-7.0571132318584642</c:v>
                </c:pt>
                <c:pt idx="511">
                  <c:v>-7.0977888431443326</c:v>
                </c:pt>
                <c:pt idx="512">
                  <c:v>-7.1381643287778047</c:v>
                </c:pt>
                <c:pt idx="513">
                  <c:v>-7.1782386387238306</c:v>
                </c:pt>
                <c:pt idx="514">
                  <c:v>-7.2180108071921127</c:v>
                </c:pt>
                <c:pt idx="515">
                  <c:v>-7.2574799512556938</c:v>
                </c:pt>
                <c:pt idx="516">
                  <c:v>-7.2966452694652455</c:v>
                </c:pt>
                <c:pt idx="517">
                  <c:v>-7.3355060404598831</c:v>
                </c:pt>
                <c:pt idx="518">
                  <c:v>-7.3740616215754455</c:v>
                </c:pt>
                <c:pt idx="519">
                  <c:v>-7.4123114474510405</c:v>
                </c:pt>
                <c:pt idx="520">
                  <c:v>-7.4502550286346656</c:v>
                </c:pt>
                <c:pt idx="521">
                  <c:v>-7.487891950188784</c:v>
                </c:pt>
                <c:pt idx="522">
                  <c:v>-7.5252218702965346</c:v>
                </c:pt>
                <c:pt idx="523">
                  <c:v>-7.5622445188694094</c:v>
                </c:pt>
                <c:pt idx="524">
                  <c:v>-7.5989596961570776</c:v>
                </c:pt>
                <c:pt idx="525">
                  <c:v>-7.6353672713601064</c:v>
                </c:pt>
                <c:pt idx="526">
                  <c:v>-7.6714671812462303</c:v>
                </c:pt>
                <c:pt idx="527">
                  <c:v>-7.7072594287708647</c:v>
                </c:pt>
                <c:pt idx="528">
                  <c:v>-7.742744081702468</c:v>
                </c:pt>
                <c:pt idx="529">
                  <c:v>-7.7427791881793882</c:v>
                </c:pt>
                <c:pt idx="530">
                  <c:v>-7.7428142943521783</c:v>
                </c:pt>
                <c:pt idx="531">
                  <c:v>-7.7428494002208392</c:v>
                </c:pt>
                <c:pt idx="532">
                  <c:v>-7.7428845057853666</c:v>
                </c:pt>
                <c:pt idx="533">
                  <c:v>-7.7429196110457603</c:v>
                </c:pt>
                <c:pt idx="534">
                  <c:v>-7.7429547160020267</c:v>
                </c:pt>
                <c:pt idx="535">
                  <c:v>-7.7429898206541594</c:v>
                </c:pt>
                <c:pt idx="536">
                  <c:v>-7.7430249250021665</c:v>
                </c:pt>
                <c:pt idx="537">
                  <c:v>-7.7430600290460392</c:v>
                </c:pt>
                <c:pt idx="538">
                  <c:v>-7.7430951327857871</c:v>
                </c:pt>
                <c:pt idx="539">
                  <c:v>-7.7431302362213987</c:v>
                </c:pt>
                <c:pt idx="540">
                  <c:v>-7.7431653393528839</c:v>
                </c:pt>
                <c:pt idx="541">
                  <c:v>-7.7432004421802407</c:v>
                </c:pt>
                <c:pt idx="542">
                  <c:v>-7.7432355447034649</c:v>
                </c:pt>
                <c:pt idx="543">
                  <c:v>-7.7432706469225634</c:v>
                </c:pt>
                <c:pt idx="544">
                  <c:v>-7.7433057488375301</c:v>
                </c:pt>
                <c:pt idx="545">
                  <c:v>-7.7433408504483694</c:v>
                </c:pt>
                <c:pt idx="546">
                  <c:v>-7.7433759517550795</c:v>
                </c:pt>
                <c:pt idx="547">
                  <c:v>-7.7434110527576641</c:v>
                </c:pt>
                <c:pt idx="548">
                  <c:v>-7.7434461534561168</c:v>
                </c:pt>
                <c:pt idx="549">
                  <c:v>-7.7434812538504438</c:v>
                </c:pt>
                <c:pt idx="550">
                  <c:v>-7.7435163539406382</c:v>
                </c:pt>
                <c:pt idx="551">
                  <c:v>-7.7435514537267061</c:v>
                </c:pt>
                <c:pt idx="552">
                  <c:v>-7.743586553208651</c:v>
                </c:pt>
                <c:pt idx="553">
                  <c:v>-7.743621652386464</c:v>
                </c:pt>
                <c:pt idx="554">
                  <c:v>-7.7436567512601551</c:v>
                </c:pt>
                <c:pt idx="555">
                  <c:v>-7.743691849829716</c:v>
                </c:pt>
                <c:pt idx="556">
                  <c:v>-7.7437269480951478</c:v>
                </c:pt>
                <c:pt idx="557">
                  <c:v>-7.7437620460564531</c:v>
                </c:pt>
                <c:pt idx="558">
                  <c:v>-7.7437971437136355</c:v>
                </c:pt>
                <c:pt idx="559">
                  <c:v>-7.7438322410666887</c:v>
                </c:pt>
                <c:pt idx="560">
                  <c:v>-7.7438673381156171</c:v>
                </c:pt>
                <c:pt idx="561">
                  <c:v>-7.7439024348604217</c:v>
                </c:pt>
                <c:pt idx="562">
                  <c:v>-7.7439375313010981</c:v>
                </c:pt>
                <c:pt idx="563">
                  <c:v>-7.7439726274376461</c:v>
                </c:pt>
                <c:pt idx="564">
                  <c:v>-7.744007723270073</c:v>
                </c:pt>
                <c:pt idx="565">
                  <c:v>-7.7440428187983734</c:v>
                </c:pt>
                <c:pt idx="566">
                  <c:v>-7.7440779140225482</c:v>
                </c:pt>
                <c:pt idx="567">
                  <c:v>-7.7441130089426</c:v>
                </c:pt>
                <c:pt idx="568">
                  <c:v>-7.7441481035585245</c:v>
                </c:pt>
                <c:pt idx="569">
                  <c:v>-7.7441831978703277</c:v>
                </c:pt>
                <c:pt idx="570">
                  <c:v>-7.7442182918780027</c:v>
                </c:pt>
                <c:pt idx="571">
                  <c:v>-7.7442533855815556</c:v>
                </c:pt>
                <c:pt idx="572">
                  <c:v>-7.7442884789809856</c:v>
                </c:pt>
                <c:pt idx="573">
                  <c:v>-7.7443235720762909</c:v>
                </c:pt>
                <c:pt idx="574">
                  <c:v>-7.7443586648674714</c:v>
                </c:pt>
                <c:pt idx="575">
                  <c:v>-7.7443937573545281</c:v>
                </c:pt>
                <c:pt idx="576">
                  <c:v>-7.7444288495374645</c:v>
                </c:pt>
                <c:pt idx="577">
                  <c:v>-7.7444639414162744</c:v>
                </c:pt>
                <c:pt idx="578">
                  <c:v>-7.744499032990964</c:v>
                </c:pt>
                <c:pt idx="579">
                  <c:v>-7.7445341242615298</c:v>
                </c:pt>
                <c:pt idx="580">
                  <c:v>-7.7445692152279744</c:v>
                </c:pt>
                <c:pt idx="581">
                  <c:v>-7.7446043058902934</c:v>
                </c:pt>
                <c:pt idx="582">
                  <c:v>-7.7446393962484938</c:v>
                </c:pt>
                <c:pt idx="583">
                  <c:v>-7.7446744863025678</c:v>
                </c:pt>
                <c:pt idx="584">
                  <c:v>-7.7447095760525251</c:v>
                </c:pt>
                <c:pt idx="585">
                  <c:v>-7.7447446654983603</c:v>
                </c:pt>
                <c:pt idx="586">
                  <c:v>-7.7447797546400707</c:v>
                </c:pt>
                <c:pt idx="587">
                  <c:v>-7.7448148434776609</c:v>
                </c:pt>
                <c:pt idx="588">
                  <c:v>-7.744849932011129</c:v>
                </c:pt>
                <c:pt idx="589">
                  <c:v>-7.7448850202404786</c:v>
                </c:pt>
                <c:pt idx="590">
                  <c:v>-7.7449201081657053</c:v>
                </c:pt>
                <c:pt idx="591">
                  <c:v>-7.7449551957868152</c:v>
                </c:pt>
                <c:pt idx="592">
                  <c:v>-7.7449902831038013</c:v>
                </c:pt>
                <c:pt idx="593">
                  <c:v>-7.7450253701166663</c:v>
                </c:pt>
                <c:pt idx="594">
                  <c:v>-7.7450604568254136</c:v>
                </c:pt>
                <c:pt idx="595">
                  <c:v>-7.7450955432300432</c:v>
                </c:pt>
                <c:pt idx="596">
                  <c:v>-7.7451306293305491</c:v>
                </c:pt>
                <c:pt idx="597">
                  <c:v>-7.7451657151269364</c:v>
                </c:pt>
                <c:pt idx="598">
                  <c:v>-7.7452008006192035</c:v>
                </c:pt>
                <c:pt idx="599">
                  <c:v>-7.7452358858073511</c:v>
                </c:pt>
                <c:pt idx="600">
                  <c:v>-7.7452709706913812</c:v>
                </c:pt>
                <c:pt idx="601">
                  <c:v>-7.7453060552712945</c:v>
                </c:pt>
                <c:pt idx="602">
                  <c:v>-7.7453411395470892</c:v>
                </c:pt>
                <c:pt idx="603">
                  <c:v>-7.7453762235187602</c:v>
                </c:pt>
                <c:pt idx="604">
                  <c:v>-7.7454113071863171</c:v>
                </c:pt>
                <c:pt idx="605">
                  <c:v>-7.7454463905497537</c:v>
                </c:pt>
                <c:pt idx="606">
                  <c:v>-7.7454814736090762</c:v>
                </c:pt>
                <c:pt idx="607">
                  <c:v>-7.7455165563642785</c:v>
                </c:pt>
                <c:pt idx="608">
                  <c:v>-7.7455516388153605</c:v>
                </c:pt>
                <c:pt idx="609">
                  <c:v>-7.7455867209623301</c:v>
                </c:pt>
                <c:pt idx="610">
                  <c:v>-7.7456218028051813</c:v>
                </c:pt>
                <c:pt idx="611">
                  <c:v>-7.7456568843439157</c:v>
                </c:pt>
                <c:pt idx="612">
                  <c:v>-7.7456919655785317</c:v>
                </c:pt>
                <c:pt idx="613">
                  <c:v>-7.7457270465090335</c:v>
                </c:pt>
                <c:pt idx="614">
                  <c:v>-7.7457621271354169</c:v>
                </c:pt>
                <c:pt idx="615">
                  <c:v>-7.7457972074576826</c:v>
                </c:pt>
                <c:pt idx="616">
                  <c:v>-7.745832287475837</c:v>
                </c:pt>
                <c:pt idx="617">
                  <c:v>-7.7458673671898719</c:v>
                </c:pt>
                <c:pt idx="618">
                  <c:v>-7.7459024465997901</c:v>
                </c:pt>
                <c:pt idx="619">
                  <c:v>-7.7459375257055951</c:v>
                </c:pt>
                <c:pt idx="620">
                  <c:v>-7.7459726045072861</c:v>
                </c:pt>
                <c:pt idx="621">
                  <c:v>-7.7460076830048603</c:v>
                </c:pt>
                <c:pt idx="622">
                  <c:v>-7.7460427611983178</c:v>
                </c:pt>
                <c:pt idx="623">
                  <c:v>-7.7460778390876621</c:v>
                </c:pt>
                <c:pt idx="624">
                  <c:v>-7.7461129166728924</c:v>
                </c:pt>
                <c:pt idx="625">
                  <c:v>-7.7461479939540077</c:v>
                </c:pt>
                <c:pt idx="626">
                  <c:v>-7.7461830709310098</c:v>
                </c:pt>
                <c:pt idx="627">
                  <c:v>-7.7462181476038952</c:v>
                </c:pt>
                <c:pt idx="628">
                  <c:v>-7.7462532239726718</c:v>
                </c:pt>
                <c:pt idx="629">
                  <c:v>-7.746288300037329</c:v>
                </c:pt>
                <c:pt idx="630">
                  <c:v>-7.7463233757978758</c:v>
                </c:pt>
                <c:pt idx="631">
                  <c:v>-7.7463584512543084</c:v>
                </c:pt>
                <c:pt idx="632">
                  <c:v>-7.7463935264066306</c:v>
                </c:pt>
                <c:pt idx="633">
                  <c:v>-7.746428601254836</c:v>
                </c:pt>
                <c:pt idx="634">
                  <c:v>-7.7464636757989309</c:v>
                </c:pt>
                <c:pt idx="635">
                  <c:v>-7.7464987500389118</c:v>
                </c:pt>
                <c:pt idx="636">
                  <c:v>-7.7465338239747776</c:v>
                </c:pt>
                <c:pt idx="637">
                  <c:v>-7.7465688976065374</c:v>
                </c:pt>
                <c:pt idx="638">
                  <c:v>-7.7466039709341841</c:v>
                </c:pt>
                <c:pt idx="639">
                  <c:v>-7.746639043957714</c:v>
                </c:pt>
                <c:pt idx="640">
                  <c:v>-7.7466741166771342</c:v>
                </c:pt>
                <c:pt idx="641">
                  <c:v>-7.7467091890924475</c:v>
                </c:pt>
                <c:pt idx="642">
                  <c:v>-7.746744261203645</c:v>
                </c:pt>
                <c:pt idx="643">
                  <c:v>-7.7467793330107337</c:v>
                </c:pt>
                <c:pt idx="644">
                  <c:v>-7.7468144045137093</c:v>
                </c:pt>
                <c:pt idx="645">
                  <c:v>-7.7468494757125761</c:v>
                </c:pt>
                <c:pt idx="646">
                  <c:v>-7.7468845466073333</c:v>
                </c:pt>
                <c:pt idx="647">
                  <c:v>-7.7469196171979755</c:v>
                </c:pt>
                <c:pt idx="648">
                  <c:v>-7.7469546874845108</c:v>
                </c:pt>
                <c:pt idx="649">
                  <c:v>-7.7469897574669329</c:v>
                </c:pt>
                <c:pt idx="650">
                  <c:v>-7.7470248271452471</c:v>
                </c:pt>
                <c:pt idx="651">
                  <c:v>-7.7470598965194535</c:v>
                </c:pt>
                <c:pt idx="652">
                  <c:v>-7.7470949655895502</c:v>
                </c:pt>
                <c:pt idx="653">
                  <c:v>-7.7471300343555365</c:v>
                </c:pt>
                <c:pt idx="654">
                  <c:v>-7.7471651028174131</c:v>
                </c:pt>
                <c:pt idx="655">
                  <c:v>-7.747200170975181</c:v>
                </c:pt>
                <c:pt idx="656">
                  <c:v>-7.747235238828841</c:v>
                </c:pt>
                <c:pt idx="657">
                  <c:v>-7.7472703063783905</c:v>
                </c:pt>
                <c:pt idx="658">
                  <c:v>-7.7473053736238322</c:v>
                </c:pt>
                <c:pt idx="659">
                  <c:v>-7.7473404405651696</c:v>
                </c:pt>
                <c:pt idx="660">
                  <c:v>-7.7473755072023955</c:v>
                </c:pt>
                <c:pt idx="661">
                  <c:v>-7.7474105735355145</c:v>
                </c:pt>
                <c:pt idx="662">
                  <c:v>-7.747445639564523</c:v>
                </c:pt>
                <c:pt idx="663">
                  <c:v>-7.7474807052894281</c:v>
                </c:pt>
                <c:pt idx="664">
                  <c:v>-7.7475157707102245</c:v>
                </c:pt>
                <c:pt idx="665">
                  <c:v>-7.747550835826913</c:v>
                </c:pt>
                <c:pt idx="666">
                  <c:v>-7.7475859006394963</c:v>
                </c:pt>
                <c:pt idx="667">
                  <c:v>-7.7476209651479735</c:v>
                </c:pt>
                <c:pt idx="668">
                  <c:v>-7.7476560293523411</c:v>
                </c:pt>
                <c:pt idx="669">
                  <c:v>-7.7476910932526071</c:v>
                </c:pt>
                <c:pt idx="670">
                  <c:v>-7.7477261568487599</c:v>
                </c:pt>
                <c:pt idx="671">
                  <c:v>-7.7477612201408084</c:v>
                </c:pt>
                <c:pt idx="672">
                  <c:v>-7.7477962831287561</c:v>
                </c:pt>
                <c:pt idx="673">
                  <c:v>-7.7478313458125978</c:v>
                </c:pt>
                <c:pt idx="674">
                  <c:v>-7.7478664081923299</c:v>
                </c:pt>
                <c:pt idx="675">
                  <c:v>-7.7479014702679603</c:v>
                </c:pt>
                <c:pt idx="676">
                  <c:v>-7.7479365320394837</c:v>
                </c:pt>
                <c:pt idx="677">
                  <c:v>-7.7479715935069029</c:v>
                </c:pt>
                <c:pt idx="678">
                  <c:v>-7.7480066546702187</c:v>
                </c:pt>
                <c:pt idx="679">
                  <c:v>-7.7480417155294257</c:v>
                </c:pt>
                <c:pt idx="680">
                  <c:v>-7.7480767760845319</c:v>
                </c:pt>
                <c:pt idx="681">
                  <c:v>-7.7481118363355312</c:v>
                </c:pt>
                <c:pt idx="682">
                  <c:v>-7.7481468962824298</c:v>
                </c:pt>
                <c:pt idx="683">
                  <c:v>-7.7481819559252241</c:v>
                </c:pt>
                <c:pt idx="684">
                  <c:v>-7.7482170152639132</c:v>
                </c:pt>
                <c:pt idx="685">
                  <c:v>-7.7482520742985015</c:v>
                </c:pt>
                <c:pt idx="686">
                  <c:v>-7.7482871330289864</c:v>
                </c:pt>
                <c:pt idx="687">
                  <c:v>-7.7483221914553635</c:v>
                </c:pt>
                <c:pt idx="688">
                  <c:v>-7.7483572495776452</c:v>
                </c:pt>
                <c:pt idx="689">
                  <c:v>-7.7483923073958207</c:v>
                </c:pt>
                <c:pt idx="690">
                  <c:v>-7.7484273649098947</c:v>
                </c:pt>
                <c:pt idx="691">
                  <c:v>-7.7484624221198635</c:v>
                </c:pt>
                <c:pt idx="692">
                  <c:v>-7.7484974790257306</c:v>
                </c:pt>
                <c:pt idx="693">
                  <c:v>-7.7485325356274988</c:v>
                </c:pt>
                <c:pt idx="694">
                  <c:v>-7.7485675919251644</c:v>
                </c:pt>
                <c:pt idx="695">
                  <c:v>-7.7486026479187267</c:v>
                </c:pt>
                <c:pt idx="696">
                  <c:v>-7.7486377036081882</c:v>
                </c:pt>
                <c:pt idx="697">
                  <c:v>-7.7486727589935445</c:v>
                </c:pt>
                <c:pt idx="698">
                  <c:v>-7.7487078140748062</c:v>
                </c:pt>
                <c:pt idx="699">
                  <c:v>-7.7487428688519673</c:v>
                </c:pt>
                <c:pt idx="700">
                  <c:v>-7.748777923325024</c:v>
                </c:pt>
                <c:pt idx="701">
                  <c:v>-7.74881297749398</c:v>
                </c:pt>
                <c:pt idx="702">
                  <c:v>-7.7488480313588415</c:v>
                </c:pt>
                <c:pt idx="703">
                  <c:v>-7.7488830849195978</c:v>
                </c:pt>
                <c:pt idx="704">
                  <c:v>-7.748918138176256</c:v>
                </c:pt>
                <c:pt idx="705">
                  <c:v>-7.7489531911288116</c:v>
                </c:pt>
                <c:pt idx="706">
                  <c:v>-7.7489882437772692</c:v>
                </c:pt>
                <c:pt idx="707">
                  <c:v>-7.7490232961216288</c:v>
                </c:pt>
                <c:pt idx="708">
                  <c:v>-7.7490583481618911</c:v>
                </c:pt>
                <c:pt idx="709">
                  <c:v>-7.74909339989805</c:v>
                </c:pt>
                <c:pt idx="710">
                  <c:v>-7.7491284513301153</c:v>
                </c:pt>
                <c:pt idx="711">
                  <c:v>-7.7491635024580781</c:v>
                </c:pt>
                <c:pt idx="712">
                  <c:v>-7.7491985532819436</c:v>
                </c:pt>
                <c:pt idx="713">
                  <c:v>-7.7492336038017129</c:v>
                </c:pt>
                <c:pt idx="714">
                  <c:v>-7.7492686540173805</c:v>
                </c:pt>
                <c:pt idx="715">
                  <c:v>-7.7493037039289545</c:v>
                </c:pt>
                <c:pt idx="716">
                  <c:v>-7.7493387535364278</c:v>
                </c:pt>
                <c:pt idx="717">
                  <c:v>-7.7493738028398083</c:v>
                </c:pt>
                <c:pt idx="718">
                  <c:v>-7.749408851839088</c:v>
                </c:pt>
                <c:pt idx="719">
                  <c:v>-7.7494439005342679</c:v>
                </c:pt>
                <c:pt idx="720">
                  <c:v>-7.749478948925355</c:v>
                </c:pt>
                <c:pt idx="721">
                  <c:v>-7.7495139970123468</c:v>
                </c:pt>
                <c:pt idx="722">
                  <c:v>-7.7495490447952395</c:v>
                </c:pt>
                <c:pt idx="723">
                  <c:v>-7.749584092274036</c:v>
                </c:pt>
                <c:pt idx="724">
                  <c:v>-7.7496191394487406</c:v>
                </c:pt>
                <c:pt idx="725">
                  <c:v>-7.7496541863193444</c:v>
                </c:pt>
                <c:pt idx="726">
                  <c:v>-7.7496892328858529</c:v>
                </c:pt>
                <c:pt idx="727">
                  <c:v>-7.7497242791482677</c:v>
                </c:pt>
                <c:pt idx="728">
                  <c:v>-7.7497593251065879</c:v>
                </c:pt>
                <c:pt idx="729">
                  <c:v>-7.7497943707608119</c:v>
                </c:pt>
                <c:pt idx="730">
                  <c:v>-7.7498294161109378</c:v>
                </c:pt>
                <c:pt idx="731">
                  <c:v>-7.7498644611569718</c:v>
                </c:pt>
                <c:pt idx="732">
                  <c:v>-7.7498995058989131</c:v>
                </c:pt>
                <c:pt idx="733">
                  <c:v>-7.7499345503367572</c:v>
                </c:pt>
                <c:pt idx="734">
                  <c:v>-7.7499695944705076</c:v>
                </c:pt>
                <c:pt idx="735">
                  <c:v>-7.7500046383001644</c:v>
                </c:pt>
                <c:pt idx="736">
                  <c:v>-7.7500396818257267</c:v>
                </c:pt>
                <c:pt idx="737">
                  <c:v>-7.7500747250471989</c:v>
                </c:pt>
                <c:pt idx="738">
                  <c:v>-7.7501097679645738</c:v>
                </c:pt>
                <c:pt idx="739">
                  <c:v>-7.7501448105778561</c:v>
                </c:pt>
                <c:pt idx="740">
                  <c:v>-7.7501798528870438</c:v>
                </c:pt>
                <c:pt idx="741">
                  <c:v>-7.7502148948921405</c:v>
                </c:pt>
                <c:pt idx="742">
                  <c:v>-7.7502499365931454</c:v>
                </c:pt>
                <c:pt idx="743">
                  <c:v>-7.7502849779900567</c:v>
                </c:pt>
                <c:pt idx="744">
                  <c:v>-7.750320019082876</c:v>
                </c:pt>
                <c:pt idx="745">
                  <c:v>-7.7503550598716044</c:v>
                </c:pt>
                <c:pt idx="746">
                  <c:v>-7.7503901003562365</c:v>
                </c:pt>
                <c:pt idx="747">
                  <c:v>-7.750425140536783</c:v>
                </c:pt>
                <c:pt idx="748">
                  <c:v>-7.7504601804132323</c:v>
                </c:pt>
                <c:pt idx="749">
                  <c:v>-7.750495219985595</c:v>
                </c:pt>
                <c:pt idx="750">
                  <c:v>-7.7505302592538614</c:v>
                </c:pt>
                <c:pt idx="751">
                  <c:v>-7.7505652982180422</c:v>
                </c:pt>
                <c:pt idx="752">
                  <c:v>-7.7506003368781302</c:v>
                </c:pt>
                <c:pt idx="753">
                  <c:v>-7.7506353752341264</c:v>
                </c:pt>
                <c:pt idx="754">
                  <c:v>-7.7506704132860316</c:v>
                </c:pt>
                <c:pt idx="755">
                  <c:v>-7.7507054510338493</c:v>
                </c:pt>
                <c:pt idx="756">
                  <c:v>-7.7507404884775744</c:v>
                </c:pt>
                <c:pt idx="757">
                  <c:v>-7.7507755256172146</c:v>
                </c:pt>
                <c:pt idx="758">
                  <c:v>-7.7508105624527586</c:v>
                </c:pt>
                <c:pt idx="759">
                  <c:v>-7.750845598984216</c:v>
                </c:pt>
                <c:pt idx="760">
                  <c:v>-7.7508806352115869</c:v>
                </c:pt>
                <c:pt idx="761">
                  <c:v>-7.7509156711348686</c:v>
                </c:pt>
                <c:pt idx="762">
                  <c:v>-7.7509507067540566</c:v>
                </c:pt>
                <c:pt idx="763">
                  <c:v>-7.7509857420691581</c:v>
                </c:pt>
                <c:pt idx="764">
                  <c:v>-7.7510207770801731</c:v>
                </c:pt>
                <c:pt idx="765">
                  <c:v>-7.7510558117870962</c:v>
                </c:pt>
                <c:pt idx="766">
                  <c:v>-7.7510908461899319</c:v>
                </c:pt>
                <c:pt idx="767">
                  <c:v>-7.751125880288682</c:v>
                </c:pt>
                <c:pt idx="768">
                  <c:v>-7.751160914083342</c:v>
                </c:pt>
                <c:pt idx="769">
                  <c:v>-7.7511959475739154</c:v>
                </c:pt>
                <c:pt idx="770">
                  <c:v>-7.7512309807604058</c:v>
                </c:pt>
                <c:pt idx="771">
                  <c:v>-7.7512660136428</c:v>
                </c:pt>
                <c:pt idx="772">
                  <c:v>-7.7513010462211138</c:v>
                </c:pt>
                <c:pt idx="773">
                  <c:v>-7.7513360784953393</c:v>
                </c:pt>
                <c:pt idx="774">
                  <c:v>-7.7513711104654766</c:v>
                </c:pt>
                <c:pt idx="775">
                  <c:v>-7.7514061421315299</c:v>
                </c:pt>
                <c:pt idx="776">
                  <c:v>-7.7514411734934949</c:v>
                </c:pt>
                <c:pt idx="777">
                  <c:v>-7.751476204551377</c:v>
                </c:pt>
                <c:pt idx="778">
                  <c:v>-7.7515112353051716</c:v>
                </c:pt>
                <c:pt idx="779">
                  <c:v>-7.751546265754877</c:v>
                </c:pt>
                <c:pt idx="780">
                  <c:v>-7.7515812959005022</c:v>
                </c:pt>
                <c:pt idx="781">
                  <c:v>-7.7516163257420398</c:v>
                </c:pt>
                <c:pt idx="782">
                  <c:v>-7.751651355279491</c:v>
                </c:pt>
                <c:pt idx="783">
                  <c:v>-7.7516863845128565</c:v>
                </c:pt>
                <c:pt idx="784">
                  <c:v>-7.7517214134421408</c:v>
                </c:pt>
                <c:pt idx="785">
                  <c:v>-7.7517564420673422</c:v>
                </c:pt>
                <c:pt idx="786">
                  <c:v>-7.7517914703884552</c:v>
                </c:pt>
                <c:pt idx="787">
                  <c:v>-7.7518264984054861</c:v>
                </c:pt>
                <c:pt idx="788">
                  <c:v>-7.7518615261184358</c:v>
                </c:pt>
                <c:pt idx="789">
                  <c:v>-7.7518965535272955</c:v>
                </c:pt>
                <c:pt idx="790">
                  <c:v>-7.7519315806320739</c:v>
                </c:pt>
                <c:pt idx="791">
                  <c:v>-7.7519666074327684</c:v>
                </c:pt>
                <c:pt idx="792">
                  <c:v>-7.7520016339293836</c:v>
                </c:pt>
                <c:pt idx="793">
                  <c:v>-7.7520366601219148</c:v>
                </c:pt>
                <c:pt idx="794">
                  <c:v>-7.7520716860103622</c:v>
                </c:pt>
                <c:pt idx="795">
                  <c:v>-7.7521067115947275</c:v>
                </c:pt>
                <c:pt idx="796">
                  <c:v>-7.7521417368750098</c:v>
                </c:pt>
                <c:pt idx="797">
                  <c:v>-7.7521767618512092</c:v>
                </c:pt>
                <c:pt idx="798">
                  <c:v>-7.7522117865233273</c:v>
                </c:pt>
                <c:pt idx="799">
                  <c:v>-7.7522468108913616</c:v>
                </c:pt>
                <c:pt idx="800">
                  <c:v>-7.75228183495532</c:v>
                </c:pt>
                <c:pt idx="801">
                  <c:v>-7.7523168587151892</c:v>
                </c:pt>
                <c:pt idx="802">
                  <c:v>-7.7523518821709825</c:v>
                </c:pt>
                <c:pt idx="803">
                  <c:v>-7.7523869053226937</c:v>
                </c:pt>
                <c:pt idx="804">
                  <c:v>-7.7524219281703246</c:v>
                </c:pt>
                <c:pt idx="805">
                  <c:v>-7.7524569507138743</c:v>
                </c:pt>
                <c:pt idx="806">
                  <c:v>-7.7524919729533428</c:v>
                </c:pt>
                <c:pt idx="807">
                  <c:v>-7.7525269948887301</c:v>
                </c:pt>
                <c:pt idx="808">
                  <c:v>-7.7525620165200415</c:v>
                </c:pt>
                <c:pt idx="809">
                  <c:v>-7.7525970378472699</c:v>
                </c:pt>
                <c:pt idx="810">
                  <c:v>-7.7526320588704216</c:v>
                </c:pt>
                <c:pt idx="811">
                  <c:v>-7.7526670795894912</c:v>
                </c:pt>
                <c:pt idx="812">
                  <c:v>-7.7527021000044822</c:v>
                </c:pt>
                <c:pt idx="813">
                  <c:v>-7.7527371201153921</c:v>
                </c:pt>
                <c:pt idx="814">
                  <c:v>-7.7527721399222242</c:v>
                </c:pt>
                <c:pt idx="815">
                  <c:v>-7.7528071594249788</c:v>
                </c:pt>
                <c:pt idx="816">
                  <c:v>-7.7528421786236539</c:v>
                </c:pt>
                <c:pt idx="817">
                  <c:v>-7.7528771975182504</c:v>
                </c:pt>
                <c:pt idx="818">
                  <c:v>-7.7529122161087702</c:v>
                </c:pt>
                <c:pt idx="819">
                  <c:v>-7.7529472343952106</c:v>
                </c:pt>
                <c:pt idx="820">
                  <c:v>-7.7529822523775742</c:v>
                </c:pt>
                <c:pt idx="821">
                  <c:v>-7.7530172700558619</c:v>
                </c:pt>
                <c:pt idx="822">
                  <c:v>-7.753052287430072</c:v>
                </c:pt>
                <c:pt idx="823">
                  <c:v>-7.7530873045002036</c:v>
                </c:pt>
                <c:pt idx="824">
                  <c:v>-7.7531223212662548</c:v>
                </c:pt>
                <c:pt idx="825">
                  <c:v>-7.7531573377282346</c:v>
                </c:pt>
                <c:pt idx="826">
                  <c:v>-7.7531923538861367</c:v>
                </c:pt>
                <c:pt idx="827">
                  <c:v>-7.7532273697399585</c:v>
                </c:pt>
                <c:pt idx="828">
                  <c:v>-7.7532623852897098</c:v>
                </c:pt>
                <c:pt idx="829">
                  <c:v>-7.7532974005353816</c:v>
                </c:pt>
                <c:pt idx="830">
                  <c:v>-7.7533324154769776</c:v>
                </c:pt>
                <c:pt idx="831">
                  <c:v>-7.7533674301144959</c:v>
                </c:pt>
                <c:pt idx="832">
                  <c:v>-7.7534024444479428</c:v>
                </c:pt>
                <c:pt idx="833">
                  <c:v>-7.753437458477312</c:v>
                </c:pt>
                <c:pt idx="834">
                  <c:v>-7.7534724722026089</c:v>
                </c:pt>
                <c:pt idx="835">
                  <c:v>-7.7535074856238264</c:v>
                </c:pt>
                <c:pt idx="836">
                  <c:v>-7.7535424987409751</c:v>
                </c:pt>
                <c:pt idx="837">
                  <c:v>-7.7535775115540462</c:v>
                </c:pt>
                <c:pt idx="838">
                  <c:v>-7.7536125240630449</c:v>
                </c:pt>
                <c:pt idx="839">
                  <c:v>-7.753647536267966</c:v>
                </c:pt>
                <c:pt idx="840">
                  <c:v>-7.7536825481688165</c:v>
                </c:pt>
                <c:pt idx="841">
                  <c:v>-7.7537175597655921</c:v>
                </c:pt>
                <c:pt idx="842">
                  <c:v>-7.7537525710582988</c:v>
                </c:pt>
                <c:pt idx="843">
                  <c:v>-7.7537875820469235</c:v>
                </c:pt>
                <c:pt idx="844">
                  <c:v>-7.7538225927314812</c:v>
                </c:pt>
                <c:pt idx="845">
                  <c:v>-7.7538576031119648</c:v>
                </c:pt>
                <c:pt idx="846">
                  <c:v>-7.7538926131883761</c:v>
                </c:pt>
                <c:pt idx="847">
                  <c:v>-7.7539276229607115</c:v>
                </c:pt>
                <c:pt idx="848">
                  <c:v>-7.7539626324289799</c:v>
                </c:pt>
                <c:pt idx="849">
                  <c:v>-7.7539976415931742</c:v>
                </c:pt>
                <c:pt idx="850">
                  <c:v>-7.7540326504532953</c:v>
                </c:pt>
                <c:pt idx="851">
                  <c:v>-7.7540676590093423</c:v>
                </c:pt>
                <c:pt idx="852">
                  <c:v>-7.754102667261324</c:v>
                </c:pt>
                <c:pt idx="853">
                  <c:v>-7.7541376752092299</c:v>
                </c:pt>
                <c:pt idx="854">
                  <c:v>-7.7541726828530688</c:v>
                </c:pt>
                <c:pt idx="855">
                  <c:v>-7.7542076901928345</c:v>
                </c:pt>
                <c:pt idx="856">
                  <c:v>-7.7542426972285305</c:v>
                </c:pt>
                <c:pt idx="857">
                  <c:v>-7.7542777039601543</c:v>
                </c:pt>
                <c:pt idx="858">
                  <c:v>-7.754312710387711</c:v>
                </c:pt>
                <c:pt idx="859">
                  <c:v>-7.7543477165111936</c:v>
                </c:pt>
                <c:pt idx="860">
                  <c:v>-7.7543827223306074</c:v>
                </c:pt>
                <c:pt idx="861">
                  <c:v>-7.7544177278459525</c:v>
                </c:pt>
                <c:pt idx="862">
                  <c:v>-7.7544527330572279</c:v>
                </c:pt>
                <c:pt idx="863">
                  <c:v>-7.7544877379644337</c:v>
                </c:pt>
                <c:pt idx="864">
                  <c:v>-7.7545227425675689</c:v>
                </c:pt>
                <c:pt idx="865">
                  <c:v>-7.754557746866638</c:v>
                </c:pt>
                <c:pt idx="866">
                  <c:v>-7.7545927508616321</c:v>
                </c:pt>
                <c:pt idx="867">
                  <c:v>-7.7546277545525646</c:v>
                </c:pt>
                <c:pt idx="868">
                  <c:v>-7.7546627579394283</c:v>
                </c:pt>
                <c:pt idx="869">
                  <c:v>-7.7546977610222214</c:v>
                </c:pt>
                <c:pt idx="870">
                  <c:v>-7.7547327638009431</c:v>
                </c:pt>
                <c:pt idx="871">
                  <c:v>-7.754767766275604</c:v>
                </c:pt>
                <c:pt idx="872">
                  <c:v>-7.7548027684461927</c:v>
                </c:pt>
                <c:pt idx="873">
                  <c:v>-7.754837770312716</c:v>
                </c:pt>
                <c:pt idx="874">
                  <c:v>-7.7548727718751742</c:v>
                </c:pt>
                <c:pt idx="875">
                  <c:v>-7.7549077731335627</c:v>
                </c:pt>
                <c:pt idx="876">
                  <c:v>-7.7549427740878878</c:v>
                </c:pt>
                <c:pt idx="877">
                  <c:v>-7.7549777747381414</c:v>
                </c:pt>
                <c:pt idx="878">
                  <c:v>-7.755012775084329</c:v>
                </c:pt>
                <c:pt idx="879">
                  <c:v>-7.7550477751264513</c:v>
                </c:pt>
                <c:pt idx="880">
                  <c:v>-7.755082774864511</c:v>
                </c:pt>
                <c:pt idx="881">
                  <c:v>-7.7551177742985011</c:v>
                </c:pt>
                <c:pt idx="882">
                  <c:v>-7.7551527734284269</c:v>
                </c:pt>
                <c:pt idx="883">
                  <c:v>-7.7551877722542848</c:v>
                </c:pt>
                <c:pt idx="884">
                  <c:v>-7.7552227707760828</c:v>
                </c:pt>
                <c:pt idx="885">
                  <c:v>-7.755257768993812</c:v>
                </c:pt>
                <c:pt idx="886">
                  <c:v>-7.7552927669074769</c:v>
                </c:pt>
                <c:pt idx="887">
                  <c:v>-7.7553277645170784</c:v>
                </c:pt>
                <c:pt idx="888">
                  <c:v>-7.7553627618226155</c:v>
                </c:pt>
                <c:pt idx="889">
                  <c:v>-7.7553977588240866</c:v>
                </c:pt>
                <c:pt idx="890">
                  <c:v>-7.7554327555214959</c:v>
                </c:pt>
                <c:pt idx="891">
                  <c:v>-7.7554677519148401</c:v>
                </c:pt>
                <c:pt idx="892">
                  <c:v>-7.7555027480041243</c:v>
                </c:pt>
                <c:pt idx="893">
                  <c:v>-7.7555377437893407</c:v>
                </c:pt>
                <c:pt idx="894">
                  <c:v>-7.7555727392704936</c:v>
                </c:pt>
                <c:pt idx="895">
                  <c:v>-7.7556077344475822</c:v>
                </c:pt>
                <c:pt idx="896">
                  <c:v>-7.7556427293206101</c:v>
                </c:pt>
                <c:pt idx="897">
                  <c:v>-7.7556777238895762</c:v>
                </c:pt>
                <c:pt idx="898">
                  <c:v>-7.7557127181544798</c:v>
                </c:pt>
                <c:pt idx="899">
                  <c:v>-7.75574771211532</c:v>
                </c:pt>
                <c:pt idx="900">
                  <c:v>-7.7557827057720976</c:v>
                </c:pt>
                <c:pt idx="901">
                  <c:v>-7.7558176991248144</c:v>
                </c:pt>
                <c:pt idx="902">
                  <c:v>-7.7558526921734696</c:v>
                </c:pt>
                <c:pt idx="903">
                  <c:v>-7.755887684918064</c:v>
                </c:pt>
                <c:pt idx="904">
                  <c:v>-7.7559226773585968</c:v>
                </c:pt>
                <c:pt idx="905">
                  <c:v>-7.7559576694950705</c:v>
                </c:pt>
                <c:pt idx="906">
                  <c:v>-7.7559926613274817</c:v>
                </c:pt>
                <c:pt idx="907">
                  <c:v>-7.7560276528558312</c:v>
                </c:pt>
                <c:pt idx="908">
                  <c:v>-7.7560626440801208</c:v>
                </c:pt>
                <c:pt idx="909">
                  <c:v>-7.7560976350003514</c:v>
                </c:pt>
                <c:pt idx="910">
                  <c:v>-7.7561326256165195</c:v>
                </c:pt>
                <c:pt idx="911">
                  <c:v>-7.7561676159286304</c:v>
                </c:pt>
                <c:pt idx="912">
                  <c:v>-7.7562026059366795</c:v>
                </c:pt>
                <c:pt idx="913">
                  <c:v>-7.7562375956406724</c:v>
                </c:pt>
                <c:pt idx="914">
                  <c:v>-7.7562725850406009</c:v>
                </c:pt>
                <c:pt idx="915">
                  <c:v>-7.7563075741364749</c:v>
                </c:pt>
                <c:pt idx="916">
                  <c:v>-7.7563425629282889</c:v>
                </c:pt>
                <c:pt idx="917">
                  <c:v>-7.7563775514160449</c:v>
                </c:pt>
                <c:pt idx="918">
                  <c:v>-7.7564125395997383</c:v>
                </c:pt>
                <c:pt idx="919">
                  <c:v>-7.7564475274793798</c:v>
                </c:pt>
                <c:pt idx="920">
                  <c:v>-7.7564825150549588</c:v>
                </c:pt>
                <c:pt idx="921">
                  <c:v>-7.7565175023264787</c:v>
                </c:pt>
                <c:pt idx="922">
                  <c:v>-7.756552489293945</c:v>
                </c:pt>
                <c:pt idx="923">
                  <c:v>-7.7565874759573541</c:v>
                </c:pt>
                <c:pt idx="924">
                  <c:v>-7.756622462316705</c:v>
                </c:pt>
                <c:pt idx="925">
                  <c:v>-7.7566574483719961</c:v>
                </c:pt>
                <c:pt idx="926">
                  <c:v>-7.7566924341232335</c:v>
                </c:pt>
                <c:pt idx="927">
                  <c:v>-7.756727419570411</c:v>
                </c:pt>
                <c:pt idx="928">
                  <c:v>-7.756762404713534</c:v>
                </c:pt>
                <c:pt idx="929">
                  <c:v>-7.7567973895526006</c:v>
                </c:pt>
                <c:pt idx="930">
                  <c:v>-7.7568323740876117</c:v>
                </c:pt>
                <c:pt idx="931">
                  <c:v>-7.7568673583185701</c:v>
                </c:pt>
                <c:pt idx="932">
                  <c:v>-7.7569023422454677</c:v>
                </c:pt>
                <c:pt idx="933">
                  <c:v>-7.7569373258683116</c:v>
                </c:pt>
                <c:pt idx="934">
                  <c:v>-7.7569723091871028</c:v>
                </c:pt>
                <c:pt idx="935">
                  <c:v>-7.757007292201834</c:v>
                </c:pt>
                <c:pt idx="936">
                  <c:v>-7.7570422749125099</c:v>
                </c:pt>
                <c:pt idx="937">
                  <c:v>-7.7570772573191364</c:v>
                </c:pt>
                <c:pt idx="938">
                  <c:v>-7.7571122394217085</c:v>
                </c:pt>
                <c:pt idx="939">
                  <c:v>-7.7571472212202242</c:v>
                </c:pt>
                <c:pt idx="940">
                  <c:v>-7.7571822027146853</c:v>
                </c:pt>
                <c:pt idx="941">
                  <c:v>-7.7572171839050954</c:v>
                </c:pt>
                <c:pt idx="942">
                  <c:v>-7.7572521647914492</c:v>
                </c:pt>
                <c:pt idx="943">
                  <c:v>-7.7572871453737484</c:v>
                </c:pt>
                <c:pt idx="944">
                  <c:v>-7.7573221256519993</c:v>
                </c:pt>
                <c:pt idx="945">
                  <c:v>-7.757357105626193</c:v>
                </c:pt>
                <c:pt idx="946">
                  <c:v>-7.7573920852963374</c:v>
                </c:pt>
                <c:pt idx="947">
                  <c:v>-7.7574270646624255</c:v>
                </c:pt>
                <c:pt idx="948">
                  <c:v>-7.7574620437244626</c:v>
                </c:pt>
                <c:pt idx="949">
                  <c:v>-7.7574970224824487</c:v>
                </c:pt>
                <c:pt idx="950">
                  <c:v>-7.7575320009363775</c:v>
                </c:pt>
                <c:pt idx="951">
                  <c:v>-7.7575669790862607</c:v>
                </c:pt>
                <c:pt idx="952">
                  <c:v>-7.7576019569320902</c:v>
                </c:pt>
                <c:pt idx="953">
                  <c:v>-7.7576369344738678</c:v>
                </c:pt>
                <c:pt idx="954">
                  <c:v>-7.7576719117115962</c:v>
                </c:pt>
                <c:pt idx="955">
                  <c:v>-7.7577068886452709</c:v>
                </c:pt>
                <c:pt idx="956">
                  <c:v>-7.7577418652748946</c:v>
                </c:pt>
                <c:pt idx="957">
                  <c:v>-7.7577768416004691</c:v>
                </c:pt>
                <c:pt idx="958">
                  <c:v>-7.7578118176219908</c:v>
                </c:pt>
                <c:pt idx="959">
                  <c:v>-7.7578467933394668</c:v>
                </c:pt>
                <c:pt idx="960">
                  <c:v>-7.7578817687528883</c:v>
                </c:pt>
                <c:pt idx="961">
                  <c:v>-7.7579167438622667</c:v>
                </c:pt>
                <c:pt idx="962">
                  <c:v>-7.7579517186675897</c:v>
                </c:pt>
                <c:pt idx="963">
                  <c:v>-7.7579866931688626</c:v>
                </c:pt>
                <c:pt idx="964">
                  <c:v>-7.7580216673660889</c:v>
                </c:pt>
                <c:pt idx="965">
                  <c:v>-7.7580566412592686</c:v>
                </c:pt>
                <c:pt idx="966">
                  <c:v>-7.758091614848392</c:v>
                </c:pt>
                <c:pt idx="967">
                  <c:v>-7.7581265881334724</c:v>
                </c:pt>
                <c:pt idx="968">
                  <c:v>-7.7581615611145072</c:v>
                </c:pt>
                <c:pt idx="969">
                  <c:v>-7.7581965337914855</c:v>
                </c:pt>
                <c:pt idx="970">
                  <c:v>-7.7582315061644236</c:v>
                </c:pt>
                <c:pt idx="971">
                  <c:v>-7.7582664782333088</c:v>
                </c:pt>
                <c:pt idx="972">
                  <c:v>-7.7583014499981493</c:v>
                </c:pt>
                <c:pt idx="973">
                  <c:v>-7.758336421458945</c:v>
                </c:pt>
                <c:pt idx="974">
                  <c:v>-7.7583713926156852</c:v>
                </c:pt>
                <c:pt idx="975">
                  <c:v>-7.758406363468386</c:v>
                </c:pt>
                <c:pt idx="976">
                  <c:v>-7.7584413340170384</c:v>
                </c:pt>
                <c:pt idx="977">
                  <c:v>-7.7584763042616425</c:v>
                </c:pt>
                <c:pt idx="978">
                  <c:v>-7.7585112742021991</c:v>
                </c:pt>
                <c:pt idx="979">
                  <c:v>-7.7585462438387136</c:v>
                </c:pt>
                <c:pt idx="980">
                  <c:v>-7.7585812131711798</c:v>
                </c:pt>
                <c:pt idx="981">
                  <c:v>-7.7586161821995985</c:v>
                </c:pt>
                <c:pt idx="982">
                  <c:v>-7.7586511509239733</c:v>
                </c:pt>
                <c:pt idx="983">
                  <c:v>-7.7586861193443077</c:v>
                </c:pt>
                <c:pt idx="984">
                  <c:v>-7.7587210874605912</c:v>
                </c:pt>
                <c:pt idx="985">
                  <c:v>-7.7587560552728316</c:v>
                </c:pt>
                <c:pt idx="986">
                  <c:v>-7.7587910227810282</c:v>
                </c:pt>
                <c:pt idx="987">
                  <c:v>-7.758825989985179</c:v>
                </c:pt>
                <c:pt idx="988">
                  <c:v>-7.7588609568852878</c:v>
                </c:pt>
                <c:pt idx="989">
                  <c:v>-7.7588959234813508</c:v>
                </c:pt>
                <c:pt idx="990">
                  <c:v>-7.7589308897733682</c:v>
                </c:pt>
                <c:pt idx="991">
                  <c:v>-7.7589658557613443</c:v>
                </c:pt>
                <c:pt idx="992">
                  <c:v>-7.7590008214452757</c:v>
                </c:pt>
                <c:pt idx="993">
                  <c:v>-7.7590357868251632</c:v>
                </c:pt>
                <c:pt idx="994">
                  <c:v>-7.7590707519010094</c:v>
                </c:pt>
                <c:pt idx="995">
                  <c:v>-7.7591057166728108</c:v>
                </c:pt>
                <c:pt idx="996">
                  <c:v>-7.7591406811405692</c:v>
                </c:pt>
                <c:pt idx="997">
                  <c:v>-7.7591756453042899</c:v>
                </c:pt>
                <c:pt idx="998">
                  <c:v>-7.7592106091639597</c:v>
                </c:pt>
                <c:pt idx="999">
                  <c:v>-7.7592455727195908</c:v>
                </c:pt>
                <c:pt idx="1000">
                  <c:v>-7.7592805359711852</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Calculs!$J$4:$J$1004</c:f>
              <c:numCache>
                <c:formatCode>0.00</c:formatCode>
                <c:ptCount val="1001"/>
                <c:pt idx="0">
                  <c:v>0</c:v>
                </c:pt>
                <c:pt idx="1">
                  <c:v>1.6867946417028701E-4</c:v>
                </c:pt>
                <c:pt idx="2">
                  <c:v>1.3778666033564277E-3</c:v>
                </c:pt>
                <c:pt idx="3">
                  <c:v>4.7592685955614089E-3</c:v>
                </c:pt>
                <c:pt idx="4">
                  <c:v>1.0696728700282435E-2</c:v>
                </c:pt>
                <c:pt idx="5">
                  <c:v>1.9100698937304261E-2</c:v>
                </c:pt>
                <c:pt idx="6">
                  <c:v>2.9908799923673901E-2</c:v>
                </c:pt>
                <c:pt idx="7">
                  <c:v>4.3113304473870635E-2</c:v>
                </c:pt>
                <c:pt idx="8">
                  <c:v>5.873385637159502E-2</c:v>
                </c:pt>
                <c:pt idx="9">
                  <c:v>7.6790109195529518E-2</c:v>
                </c:pt>
                <c:pt idx="10">
                  <c:v>9.730172588321935E-2</c:v>
                </c:pt>
                <c:pt idx="11">
                  <c:v>0.12028553376894313</c:v>
                </c:pt>
                <c:pt idx="12">
                  <c:v>0.14575267136628073</c:v>
                </c:pt>
                <c:pt idx="13">
                  <c:v>0.17371142028311395</c:v>
                </c:pt>
                <c:pt idx="14">
                  <c:v>0.2041700454538935</c:v>
                </c:pt>
                <c:pt idx="15">
                  <c:v>0.23713679482329</c:v>
                </c:pt>
                <c:pt idx="16">
                  <c:v>0.27261989902886624</c:v>
                </c:pt>
                <c:pt idx="17">
                  <c:v>0.31062757108279598</c:v>
                </c:pt>
                <c:pt idx="18">
                  <c:v>0.3511680060526553</c:v>
                </c:pt>
                <c:pt idx="19">
                  <c:v>0.39424938074131233</c:v>
                </c:pt>
                <c:pt idx="20">
                  <c:v>0.43987985336594226</c:v>
                </c:pt>
                <c:pt idx="21">
                  <c:v>0.48806642086313745</c:v>
                </c:pt>
                <c:pt idx="22">
                  <c:v>0.53881377294937494</c:v>
                </c:pt>
                <c:pt idx="23">
                  <c:v>0.59212542949937219</c:v>
                </c:pt>
                <c:pt idx="24">
                  <c:v>0.64800488123332123</c:v>
                </c:pt>
                <c:pt idx="25">
                  <c:v>0.7064555895244955</c:v>
                </c:pt>
                <c:pt idx="26">
                  <c:v>0.76756493202172194</c:v>
                </c:pt>
                <c:pt idx="27">
                  <c:v>0.83142388806643408</c:v>
                </c:pt>
                <c:pt idx="28">
                  <c:v>0.89804303053635737</c:v>
                </c:pt>
                <c:pt idx="29">
                  <c:v>0.9674327205965737</c:v>
                </c:pt>
                <c:pt idx="30">
                  <c:v>1.0396030586289398</c:v>
                </c:pt>
                <c:pt idx="31">
                  <c:v>1.1145639000060388</c:v>
                </c:pt>
                <c:pt idx="32">
                  <c:v>1.192324869236089</c:v>
                </c:pt>
                <c:pt idx="33">
                  <c:v>1.2728953726931211</c:v>
                </c:pt>
                <c:pt idx="34">
                  <c:v>1.3562846101125992</c:v>
                </c:pt>
                <c:pt idx="35">
                  <c:v>1.4425015850048608</c:v>
                </c:pt>
                <c:pt idx="36">
                  <c:v>1.5315551141159496</c:v>
                </c:pt>
                <c:pt idx="37">
                  <c:v>1.6234538360465911</c:v>
                </c:pt>
                <c:pt idx="38">
                  <c:v>1.7182062191244394</c:v>
                </c:pt>
                <c:pt idx="39">
                  <c:v>1.8158205686116669</c:v>
                </c:pt>
                <c:pt idx="40">
                  <c:v>1.9163050333190148</c:v>
                </c:pt>
                <c:pt idx="41">
                  <c:v>2.0196666919779558</c:v>
                </c:pt>
                <c:pt idx="42">
                  <c:v>2.1259106321896044</c:v>
                </c:pt>
                <c:pt idx="43">
                  <c:v>2.2350408661774672</c:v>
                </c:pt>
                <c:pt idx="44">
                  <c:v>2.3470612534225044</c:v>
                </c:pt>
                <c:pt idx="45">
                  <c:v>2.4619755057277688</c:v>
                </c:pt>
                <c:pt idx="46">
                  <c:v>2.5797871919259481</c:v>
                </c:pt>
                <c:pt idx="47">
                  <c:v>2.7004997422628128</c:v>
                </c:pt>
                <c:pt idx="48">
                  <c:v>2.8241164524858768</c:v>
                </c:pt>
                <c:pt idx="49">
                  <c:v>2.9506404876643599</c:v>
                </c:pt>
                <c:pt idx="50">
                  <c:v>3.0800748857637452</c:v>
                </c:pt>
                <c:pt idx="51">
                  <c:v>3.2124225609957779</c:v>
                </c:pt>
                <c:pt idx="52">
                  <c:v>3.3476863069626095</c:v>
                </c:pt>
                <c:pt idx="53">
                  <c:v>3.4858687996119055</c:v>
                </c:pt>
                <c:pt idx="54">
                  <c:v>3.6269726000180786</c:v>
                </c:pt>
                <c:pt idx="55">
                  <c:v>3.7710001570033365</c:v>
                </c:pt>
                <c:pt idx="56">
                  <c:v>3.9179538096109381</c:v>
                </c:pt>
                <c:pt idx="57">
                  <c:v>4.0678357894418973</c:v>
                </c:pt>
                <c:pt idx="58">
                  <c:v>4.2206482228653401</c:v>
                </c:pt>
                <c:pt idx="59">
                  <c:v>4.376393133111816</c:v>
                </c:pt>
                <c:pt idx="60">
                  <c:v>4.5350724422580289</c:v>
                </c:pt>
                <c:pt idx="61">
                  <c:v>4.6966879731107376</c:v>
                </c:pt>
                <c:pt idx="62">
                  <c:v>4.8612414509968955</c:v>
                </c:pt>
                <c:pt idx="63">
                  <c:v>5.0287345054665273</c:v>
                </c:pt>
                <c:pt idx="64">
                  <c:v>5.1991686719142889</c:v>
                </c:pt>
                <c:pt idx="65">
                  <c:v>5.3725453931251854</c:v>
                </c:pt>
                <c:pt idx="66">
                  <c:v>5.5488660207494798</c:v>
                </c:pt>
                <c:pt idx="67">
                  <c:v>5.7281318167114366</c:v>
                </c:pt>
                <c:pt idx="68">
                  <c:v>5.9103439545561729</c:v>
                </c:pt>
                <c:pt idx="69">
                  <c:v>6.0955035207385837</c:v>
                </c:pt>
                <c:pt idx="70">
                  <c:v>6.2836115158579897</c:v>
                </c:pt>
                <c:pt idx="71">
                  <c:v>6.4746688558419034</c:v>
                </c:pt>
                <c:pt idx="72">
                  <c:v>6.668676373082052</c:v>
                </c:pt>
                <c:pt idx="73">
                  <c:v>6.8656348175255753</c:v>
                </c:pt>
                <c:pt idx="74">
                  <c:v>7.0655448577241051</c:v>
                </c:pt>
                <c:pt idx="75">
                  <c:v>7.268407081843252</c:v>
                </c:pt>
                <c:pt idx="76">
                  <c:v>7.4742219986348415</c:v>
                </c:pt>
                <c:pt idx="77">
                  <c:v>7.682990038374089</c:v>
                </c:pt>
                <c:pt idx="78">
                  <c:v>7.8947115537637584</c:v>
                </c:pt>
                <c:pt idx="79">
                  <c:v>8.1093868208071989</c:v>
                </c:pt>
                <c:pt idx="80">
                  <c:v>8.3270160396520563</c:v>
                </c:pt>
                <c:pt idx="81">
                  <c:v>8.5475983527444637</c:v>
                </c:pt>
                <c:pt idx="82">
                  <c:v>8.7711308585650425</c:v>
                </c:pt>
                <c:pt idx="83">
                  <c:v>8.9976095895689987</c:v>
                </c:pt>
                <c:pt idx="84">
                  <c:v>9.2270304946556188</c:v>
                </c:pt>
                <c:pt idx="85">
                  <c:v>9.4593894402068042</c:v>
                </c:pt>
                <c:pt idx="86">
                  <c:v>9.694682211099666</c:v>
                </c:pt>
                <c:pt idx="87">
                  <c:v>9.932904511694618</c:v>
                </c:pt>
                <c:pt idx="88">
                  <c:v>10.174051966800295</c:v>
                </c:pt>
                <c:pt idx="89">
                  <c:v>10.418120122616561</c:v>
                </c:pt>
                <c:pt idx="90">
                  <c:v>10.665104447656761</c:v>
                </c:pt>
                <c:pt idx="91">
                  <c:v>10.914999895528828</c:v>
                </c:pt>
                <c:pt idx="92">
                  <c:v>11.167800465943888</c:v>
                </c:pt>
                <c:pt idx="93">
                  <c:v>11.423499641576758</c:v>
                </c:pt>
                <c:pt idx="94">
                  <c:v>11.682090826732267</c:v>
                </c:pt>
                <c:pt idx="95">
                  <c:v>11.943567348315517</c:v>
                </c:pt>
                <c:pt idx="96">
                  <c:v>12.207922456785278</c:v>
                </c:pt>
                <c:pt idx="97">
                  <c:v>12.475149327091396</c:v>
                </c:pt>
                <c:pt idx="98">
                  <c:v>12.745241059596967</c:v>
                </c:pt>
                <c:pt idx="99">
                  <c:v>13.018190680986047</c:v>
                </c:pt>
                <c:pt idx="100">
                  <c:v>13.293991145157582</c:v>
                </c:pt>
                <c:pt idx="101">
                  <c:v>13.572635263449058</c:v>
                </c:pt>
                <c:pt idx="102">
                  <c:v>13.854115634594596</c:v>
                </c:pt>
                <c:pt idx="103">
                  <c:v>14.138424715942721</c:v>
                </c:pt>
                <c:pt idx="104">
                  <c:v>14.425554894926286</c:v>
                </c:pt>
                <c:pt idx="105">
                  <c:v>14.715498489917469</c:v>
                </c:pt>
                <c:pt idx="106">
                  <c:v>15.008247751072183</c:v>
                </c:pt>
                <c:pt idx="107">
                  <c:v>15.303794861164365</c:v>
                </c:pt>
                <c:pt idx="108">
                  <c:v>15.602131936410572</c:v>
                </c:pt>
                <c:pt idx="109">
                  <c:v>15.903251027285323</c:v>
                </c:pt>
                <c:pt idx="110">
                  <c:v>16.207144119327548</c:v>
                </c:pt>
                <c:pt idx="111">
                  <c:v>16.513803953650264</c:v>
                </c:pt>
                <c:pt idx="112">
                  <c:v>16.823224850069835</c:v>
                </c:pt>
                <c:pt idx="113">
                  <c:v>17.135401891113901</c:v>
                </c:pt>
                <c:pt idx="114">
                  <c:v>17.450330103283918</c:v>
                </c:pt>
                <c:pt idx="115">
                  <c:v>17.768004457603176</c:v>
                </c:pt>
                <c:pt idx="116">
                  <c:v>18.088419870159964</c:v>
                </c:pt>
                <c:pt idx="117">
                  <c:v>18.411571202646023</c:v>
                </c:pt>
                <c:pt idx="118">
                  <c:v>18.737453262890561</c:v>
                </c:pt>
                <c:pt idx="119">
                  <c:v>19.066060805389952</c:v>
                </c:pt>
                <c:pt idx="120">
                  <c:v>19.397388531833357</c:v>
                </c:pt>
                <c:pt idx="121">
                  <c:v>19.731429722407981</c:v>
                </c:pt>
                <c:pt idx="122">
                  <c:v>20.068174863145309</c:v>
                </c:pt>
                <c:pt idx="123">
                  <c:v>20.407613011465767</c:v>
                </c:pt>
                <c:pt idx="124">
                  <c:v>20.749733165854611</c:v>
                </c:pt>
                <c:pt idx="125">
                  <c:v>21.094524266726673</c:v>
                </c:pt>
                <c:pt idx="126">
                  <c:v>21.441975197284663</c:v>
                </c:pt>
                <c:pt idx="127">
                  <c:v>21.792074784371191</c:v>
                </c:pt>
                <c:pt idx="128">
                  <c:v>22.144811799314695</c:v>
                </c:pt>
                <c:pt idx="129">
                  <c:v>22.500174958769378</c:v>
                </c:pt>
                <c:pt idx="130">
                  <c:v>22.858152925549334</c:v>
                </c:pt>
                <c:pt idx="131">
                  <c:v>23.218733948615856</c:v>
                </c:pt>
                <c:pt idx="132">
                  <c:v>23.581905502143922</c:v>
                </c:pt>
                <c:pt idx="133">
                  <c:v>23.947654646289035</c:v>
                </c:pt>
                <c:pt idx="134">
                  <c:v>24.315968388912164</c:v>
                </c:pt>
                <c:pt idx="135">
                  <c:v>24.686833686482483</c:v>
                </c:pt>
                <c:pt idx="136">
                  <c:v>25.060237444973971</c:v>
                </c:pt>
                <c:pt idx="137">
                  <c:v>25.436166520755975</c:v>
                </c:pt>
                <c:pt idx="138">
                  <c:v>25.814607721477799</c:v>
                </c:pt>
                <c:pt idx="139">
                  <c:v>26.195547806947424</c:v>
                </c:pt>
                <c:pt idx="140">
                  <c:v>26.578973490004401</c:v>
                </c:pt>
                <c:pt idx="141">
                  <c:v>26.964867096001768</c:v>
                </c:pt>
                <c:pt idx="142">
                  <c:v>27.353202212820207</c:v>
                </c:pt>
                <c:pt idx="143">
                  <c:v>27.743948025011814</c:v>
                </c:pt>
                <c:pt idx="144">
                  <c:v>28.137073658067187</c:v>
                </c:pt>
                <c:pt idx="145">
                  <c:v>28.532548180585078</c:v>
                </c:pt>
                <c:pt idx="146">
                  <c:v>28.930340606419271</c:v>
                </c:pt>
                <c:pt idx="147">
                  <c:v>29.330419896802745</c:v>
                </c:pt>
                <c:pt idx="148">
                  <c:v>29.732754962449121</c:v>
                </c:pt>
                <c:pt idx="149">
                  <c:v>30.137314665631489</c:v>
                </c:pt>
                <c:pt idx="150">
                  <c:v>30.544067822238546</c:v>
                </c:pt>
                <c:pt idx="151">
                  <c:v>30.952983203808135</c:v>
                </c:pt>
                <c:pt idx="152">
                  <c:v>31.364029539538148</c:v>
                </c:pt>
                <c:pt idx="153">
                  <c:v>31.77717551827482</c:v>
                </c:pt>
                <c:pt idx="154">
                  <c:v>32.192389790478401</c:v>
                </c:pt>
                <c:pt idx="155">
                  <c:v>32.609640970166183</c:v>
                </c:pt>
                <c:pt idx="156">
                  <c:v>33.028876898950521</c:v>
                </c:pt>
                <c:pt idx="157">
                  <c:v>33.450003881967078</c:v>
                </c:pt>
                <c:pt idx="158">
                  <c:v>33.872907418088587</c:v>
                </c:pt>
                <c:pt idx="159">
                  <c:v>34.297472963968247</c:v>
                </c:pt>
                <c:pt idx="160">
                  <c:v>34.723585947276248</c:v>
                </c:pt>
                <c:pt idx="161">
                  <c:v>35.15110534544965</c:v>
                </c:pt>
                <c:pt idx="162">
                  <c:v>35.579837250520974</c:v>
                </c:pt>
                <c:pt idx="163">
                  <c:v>36.009563864494062</c:v>
                </c:pt>
                <c:pt idx="164">
                  <c:v>36.440072521860117</c:v>
                </c:pt>
                <c:pt idx="165">
                  <c:v>36.871178501785629</c:v>
                </c:pt>
                <c:pt idx="166">
                  <c:v>37.302747829105037</c:v>
                </c:pt>
                <c:pt idx="167">
                  <c:v>37.734652698026238</c:v>
                </c:pt>
                <c:pt idx="168">
                  <c:v>38.166740838042024</c:v>
                </c:pt>
                <c:pt idx="169">
                  <c:v>38.598815008234865</c:v>
                </c:pt>
                <c:pt idx="170">
                  <c:v>39.030626487749061</c:v>
                </c:pt>
                <c:pt idx="171">
                  <c:v>39.462001240201438</c:v>
                </c:pt>
                <c:pt idx="172">
                  <c:v>39.892896164435427</c:v>
                </c:pt>
                <c:pt idx="173">
                  <c:v>40.323312640703321</c:v>
                </c:pt>
                <c:pt idx="174">
                  <c:v>40.753252043573312</c:v>
                </c:pt>
                <c:pt idx="175">
                  <c:v>41.182715741961267</c:v>
                </c:pt>
                <c:pt idx="176">
                  <c:v>41.61170509916235</c:v>
                </c:pt>
                <c:pt idx="177">
                  <c:v>42.040221472882365</c:v>
                </c:pt>
                <c:pt idx="178">
                  <c:v>42.468266215268905</c:v>
                </c:pt>
                <c:pt idx="179">
                  <c:v>42.895840672942278</c:v>
                </c:pt>
                <c:pt idx="180">
                  <c:v>43.322946187026226</c:v>
                </c:pt>
                <c:pt idx="181">
                  <c:v>43.74958409317842</c:v>
                </c:pt>
                <c:pt idx="182">
                  <c:v>44.175755721620753</c:v>
                </c:pt>
                <c:pt idx="183">
                  <c:v>44.601462397169392</c:v>
                </c:pt>
                <c:pt idx="184">
                  <c:v>45.026705439264674</c:v>
                </c:pt>
                <c:pt idx="185">
                  <c:v>45.451486162000755</c:v>
                </c:pt>
                <c:pt idx="186">
                  <c:v>45.875805874155056</c:v>
                </c:pt>
                <c:pt idx="187">
                  <c:v>46.299665879217521</c:v>
                </c:pt>
                <c:pt idx="188">
                  <c:v>46.723067475419676</c:v>
                </c:pt>
                <c:pt idx="189">
                  <c:v>47.146011955763463</c:v>
                </c:pt>
                <c:pt idx="190">
                  <c:v>47.568500608049902</c:v>
                </c:pt>
                <c:pt idx="191">
                  <c:v>47.99053471490754</c:v>
                </c:pt>
                <c:pt idx="192">
                  <c:v>48.412115553820719</c:v>
                </c:pt>
                <c:pt idx="193">
                  <c:v>48.833244397157628</c:v>
                </c:pt>
                <c:pt idx="194">
                  <c:v>49.253922512198194</c:v>
                </c:pt>
                <c:pt idx="195">
                  <c:v>49.674151161161745</c:v>
                </c:pt>
                <c:pt idx="196">
                  <c:v>50.093931601234516</c:v>
                </c:pt>
                <c:pt idx="197">
                  <c:v>50.513265084596959</c:v>
                </c:pt>
                <c:pt idx="198">
                  <c:v>50.93215285845087</c:v>
                </c:pt>
                <c:pt idx="199">
                  <c:v>51.350596165046298</c:v>
                </c:pt>
                <c:pt idx="200">
                  <c:v>51.768596241708345</c:v>
                </c:pt>
                <c:pt idx="201">
                  <c:v>55.924314820102936</c:v>
                </c:pt>
                <c:pt idx="202">
                  <c:v>60.036503136767664</c:v>
                </c:pt>
                <c:pt idx="203">
                  <c:v>64.106353587857626</c:v>
                </c:pt>
                <c:pt idx="204">
                  <c:v>68.13501263645631</c:v>
                </c:pt>
                <c:pt idx="205">
                  <c:v>72.123583199633828</c:v>
                </c:pt>
                <c:pt idx="206">
                  <c:v>76.073126881591008</c:v>
                </c:pt>
                <c:pt idx="207">
                  <c:v>79.984666064716151</c:v>
                </c:pt>
                <c:pt idx="208">
                  <c:v>83.859185869330531</c:v>
                </c:pt>
                <c:pt idx="209">
                  <c:v>87.697635991952595</c:v>
                </c:pt>
                <c:pt idx="210">
                  <c:v>91.500932431059795</c:v>
                </c:pt>
                <c:pt idx="211">
                  <c:v>95.269959108558652</c:v>
                </c:pt>
                <c:pt idx="212">
                  <c:v>99.005569394480133</c:v>
                </c:pt>
                <c:pt idx="213">
                  <c:v>102.70858754179021</c:v>
                </c:pt>
                <c:pt idx="214">
                  <c:v>106.37981003763736</c:v>
                </c:pt>
                <c:pt idx="215">
                  <c:v>110.02000687684416</c:v>
                </c:pt>
                <c:pt idx="216">
                  <c:v>113.62992276298239</c:v>
                </c:pt>
                <c:pt idx="217">
                  <c:v>117.2102782419465</c:v>
                </c:pt>
                <c:pt idx="218">
                  <c:v>120.76177077255396</c:v>
                </c:pt>
                <c:pt idx="219">
                  <c:v>124.28507573834855</c:v>
                </c:pt>
                <c:pt idx="220">
                  <c:v>127.78084740446224</c:v>
                </c:pt>
                <c:pt idx="221">
                  <c:v>131.24971982309762</c:v>
                </c:pt>
                <c:pt idx="222">
                  <c:v>134.69230769092582</c:v>
                </c:pt>
                <c:pt idx="223">
                  <c:v>138.10920716144898</c:v>
                </c:pt>
                <c:pt idx="224">
                  <c:v>141.50099661515287</c:v>
                </c:pt>
                <c:pt idx="225">
                  <c:v>144.8682373900692</c:v>
                </c:pt>
                <c:pt idx="226">
                  <c:v>148.21147447517836</c:v>
                </c:pt>
                <c:pt idx="227">
                  <c:v>151.53123716891076</c:v>
                </c:pt>
                <c:pt idx="228">
                  <c:v>154.82803970484471</c:v>
                </c:pt>
                <c:pt idx="229">
                  <c:v>158.1023818465533</c:v>
                </c:pt>
                <c:pt idx="230">
                  <c:v>161.35474945341693</c:v>
                </c:pt>
                <c:pt idx="231">
                  <c:v>164.58561501909432</c:v>
                </c:pt>
                <c:pt idx="232">
                  <c:v>167.79543818423011</c:v>
                </c:pt>
                <c:pt idx="233">
                  <c:v>170.98466622487067</c:v>
                </c:pt>
                <c:pt idx="234">
                  <c:v>174.15373451796293</c:v>
                </c:pt>
                <c:pt idx="235">
                  <c:v>177.30306698521932</c:v>
                </c:pt>
                <c:pt idx="236">
                  <c:v>180.43307651654922</c:v>
                </c:pt>
                <c:pt idx="237">
                  <c:v>183.54416537417913</c:v>
                </c:pt>
                <c:pt idx="238">
                  <c:v>186.63672557851208</c:v>
                </c:pt>
                <c:pt idx="239">
                  <c:v>189.71113927670999</c:v>
                </c:pt>
                <c:pt idx="240">
                  <c:v>192.767779094921</c:v>
                </c:pt>
                <c:pt idx="241">
                  <c:v>195.80700847501618</c:v>
                </c:pt>
                <c:pt idx="242">
                  <c:v>198.82918199664613</c:v>
                </c:pt>
                <c:pt idx="243">
                  <c:v>201.8346456853792</c:v>
                </c:pt>
                <c:pt idx="244">
                  <c:v>204.82373730763555</c:v>
                </c:pt>
                <c:pt idx="245">
                  <c:v>207.79678665308921</c:v>
                </c:pt>
                <c:pt idx="246">
                  <c:v>210.75411580516919</c:v>
                </c:pt>
                <c:pt idx="247">
                  <c:v>213.69603940025385</c:v>
                </c:pt>
                <c:pt idx="248">
                  <c:v>216.62286487611706</c:v>
                </c:pt>
                <c:pt idx="249">
                  <c:v>219.53489271015258</c:v>
                </c:pt>
                <c:pt idx="250">
                  <c:v>222.43241664787175</c:v>
                </c:pt>
                <c:pt idx="251">
                  <c:v>225.31572392214173</c:v>
                </c:pt>
                <c:pt idx="252">
                  <c:v>228.18509546360391</c:v>
                </c:pt>
                <c:pt idx="253">
                  <c:v>231.04080610268767</c:v>
                </c:pt>
                <c:pt idx="254">
                  <c:v>233.8831247636104</c:v>
                </c:pt>
                <c:pt idx="255">
                  <c:v>236.71231465073345</c:v>
                </c:pt>
                <c:pt idx="256">
                  <c:v>239.52863342762194</c:v>
                </c:pt>
                <c:pt idx="257">
                  <c:v>242.33233338913752</c:v>
                </c:pt>
                <c:pt idx="258">
                  <c:v>245.12366162687448</c:v>
                </c:pt>
                <c:pt idx="259">
                  <c:v>247.90286018823255</c:v>
                </c:pt>
                <c:pt idx="260">
                  <c:v>250.67016622940301</c:v>
                </c:pt>
                <c:pt idx="261">
                  <c:v>253.42581216252984</c:v>
                </c:pt>
                <c:pt idx="262">
                  <c:v>256.17002579729274</c:v>
                </c:pt>
                <c:pt idx="263">
                  <c:v>258.90303047714542</c:v>
                </c:pt>
                <c:pt idx="264">
                  <c:v>261.62504521042905</c:v>
                </c:pt>
                <c:pt idx="265">
                  <c:v>264.3362847965692</c:v>
                </c:pt>
                <c:pt idx="266">
                  <c:v>267.03695994755236</c:v>
                </c:pt>
                <c:pt idx="267">
                  <c:v>269.72727740486681</c:v>
                </c:pt>
                <c:pt idx="268">
                  <c:v>272.40744005208302</c:v>
                </c:pt>
                <c:pt idx="269">
                  <c:v>275.0776470232372</c:v>
                </c:pt>
                <c:pt idx="270">
                  <c:v>277.7380938071737</c:v>
                </c:pt>
                <c:pt idx="271">
                  <c:v>280.38897234799111</c:v>
                </c:pt>
                <c:pt idx="272">
                  <c:v>283.03047114172904</c:v>
                </c:pt>
                <c:pt idx="273">
                  <c:v>285.66277532942388</c:v>
                </c:pt>
                <c:pt idx="274">
                  <c:v>288.28606678665346</c:v>
                </c:pt>
                <c:pt idx="275">
                  <c:v>290.90052420968254</c:v>
                </c:pt>
                <c:pt idx="276">
                  <c:v>293.50632319831357</c:v>
                </c:pt>
                <c:pt idx="277">
                  <c:v>296.10363633553976</c:v>
                </c:pt>
                <c:pt idx="278">
                  <c:v>298.69263326408969</c:v>
                </c:pt>
                <c:pt idx="279">
                  <c:v>301.27348075994576</c:v>
                </c:pt>
                <c:pt idx="280">
                  <c:v>303.84634280291232</c:v>
                </c:pt>
                <c:pt idx="281">
                  <c:v>306.41138064430106</c:v>
                </c:pt>
                <c:pt idx="282">
                  <c:v>308.96875287179563</c:v>
                </c:pt>
                <c:pt idx="283">
                  <c:v>311.51861547154959</c:v>
                </c:pt>
                <c:pt idx="284">
                  <c:v>314.06112188756532</c:v>
                </c:pt>
                <c:pt idx="285">
                  <c:v>316.59642307839465</c:v>
                </c:pt>
                <c:pt idx="286">
                  <c:v>319.12466757119455</c:v>
                </c:pt>
                <c:pt idx="287">
                  <c:v>321.64600151316409</c:v>
                </c:pt>
                <c:pt idx="288">
                  <c:v>324.16056872038234</c:v>
                </c:pt>
                <c:pt idx="289">
                  <c:v>326.66851072405819</c:v>
                </c:pt>
                <c:pt idx="290">
                  <c:v>329.16996681419602</c:v>
                </c:pt>
                <c:pt idx="291">
                  <c:v>331.66507408067361</c:v>
                </c:pt>
                <c:pt idx="292">
                  <c:v>334.15396745171944</c:v>
                </c:pt>
                <c:pt idx="293">
                  <c:v>336.63677972976859</c:v>
                </c:pt>
                <c:pt idx="294">
                  <c:v>339.11364162466725</c:v>
                </c:pt>
                <c:pt idx="295">
                  <c:v>341.58468178418667</c:v>
                </c:pt>
                <c:pt idx="296">
                  <c:v>344.05002682179702</c:v>
                </c:pt>
                <c:pt idx="297">
                  <c:v>346.50980134164212</c:v>
                </c:pt>
                <c:pt idx="298">
                  <c:v>348.96412796064402</c:v>
                </c:pt>
                <c:pt idx="299">
                  <c:v>351.41312732765647</c:v>
                </c:pt>
                <c:pt idx="300">
                  <c:v>353.85691813957249</c:v>
                </c:pt>
                <c:pt idx="301">
                  <c:v>356.29561715428082</c:v>
                </c:pt>
                <c:pt idx="302">
                  <c:v>358.72933920035098</c:v>
                </c:pt>
                <c:pt idx="303">
                  <c:v>361.15819718331448</c:v>
                </c:pt>
                <c:pt idx="304">
                  <c:v>363.58230208839478</c:v>
                </c:pt>
                <c:pt idx="305">
                  <c:v>366.00176297952436</c:v>
                </c:pt>
                <c:pt idx="306">
                  <c:v>368.41668699447291</c:v>
                </c:pt>
                <c:pt idx="307">
                  <c:v>370.8271793358947</c:v>
                </c:pt>
                <c:pt idx="308">
                  <c:v>373.23334325809049</c:v>
                </c:pt>
                <c:pt idx="309">
                  <c:v>375.6352800492628</c:v>
                </c:pt>
                <c:pt idx="310">
                  <c:v>378.03308900903301</c:v>
                </c:pt>
                <c:pt idx="311">
                  <c:v>380.42686742097465</c:v>
                </c:pt>
                <c:pt idx="312">
                  <c:v>382.81671051991015</c:v>
                </c:pt>
                <c:pt idx="313">
                  <c:v>385.20271145371089</c:v>
                </c:pt>
                <c:pt idx="314">
                  <c:v>387.58496123933907</c:v>
                </c:pt>
                <c:pt idx="315">
                  <c:v>389.96354871287446</c:v>
                </c:pt>
                <c:pt idx="316">
                  <c:v>392.33856047327907</c:v>
                </c:pt>
                <c:pt idx="317">
                  <c:v>394.71008081967426</c:v>
                </c:pt>
                <c:pt idx="318">
                  <c:v>397.07819168193521</c:v>
                </c:pt>
                <c:pt idx="319">
                  <c:v>399.44297254445394</c:v>
                </c:pt>
                <c:pt idx="320">
                  <c:v>401.80450036298294</c:v>
                </c:pt>
                <c:pt idx="321">
                  <c:v>404.16284947455239</c:v>
                </c:pt>
                <c:pt idx="322">
                  <c:v>406.51809150055618</c:v>
                </c:pt>
                <c:pt idx="323">
                  <c:v>408.87029524322958</c:v>
                </c:pt>
                <c:pt idx="324">
                  <c:v>411.21952657589355</c:v>
                </c:pt>
                <c:pt idx="325">
                  <c:v>413.56584832752299</c:v>
                </c:pt>
                <c:pt idx="326">
                  <c:v>415.90932016240396</c:v>
                </c:pt>
                <c:pt idx="327">
                  <c:v>418.24999845587939</c:v>
                </c:pt>
                <c:pt idx="328">
                  <c:v>420.58793616743759</c:v>
                </c:pt>
                <c:pt idx="329">
                  <c:v>422.92318271266691</c:v>
                </c:pt>
                <c:pt idx="330">
                  <c:v>425.25578383587276</c:v>
                </c:pt>
                <c:pt idx="331">
                  <c:v>427.58578148541301</c:v>
                </c:pt>
                <c:pt idx="332">
                  <c:v>429.91321369404216</c:v>
                </c:pt>
                <c:pt idx="333">
                  <c:v>432.23811446673892</c:v>
                </c:pt>
                <c:pt idx="334">
                  <c:v>434.56051367860914</c:v>
                </c:pt>
                <c:pt idx="335">
                  <c:v>436.8804369854841</c:v>
                </c:pt>
                <c:pt idx="336">
                  <c:v>439.19790574975741</c:v>
                </c:pt>
                <c:pt idx="337">
                  <c:v>441.5129369838113</c:v>
                </c:pt>
                <c:pt idx="338">
                  <c:v>443.8255433130729</c:v>
                </c:pt>
                <c:pt idx="339">
                  <c:v>446.13573296031825</c:v>
                </c:pt>
                <c:pt idx="340">
                  <c:v>448.44350975232692</c:v>
                </c:pt>
                <c:pt idx="341">
                  <c:v>450.74887314940628</c:v>
                </c:pt>
                <c:pt idx="342">
                  <c:v>453.0518182976902</c:v>
                </c:pt>
                <c:pt idx="343">
                  <c:v>455.35233610350446</c:v>
                </c:pt>
                <c:pt idx="344">
                  <c:v>457.6504133285224</c:v>
                </c:pt>
                <c:pt idx="345">
                  <c:v>459.94603270394003</c:v>
                </c:pt>
                <c:pt idx="346">
                  <c:v>462.23917306150389</c:v>
                </c:pt>
                <c:pt idx="347">
                  <c:v>464.52980947894571</c:v>
                </c:pt>
                <c:pt idx="348">
                  <c:v>466.81791343721733</c:v>
                </c:pt>
                <c:pt idx="349">
                  <c:v>469.10345298687525</c:v>
                </c:pt>
                <c:pt idx="350">
                  <c:v>471.38639292102164</c:v>
                </c:pt>
                <c:pt idx="351">
                  <c:v>473.66669495235124</c:v>
                </c:pt>
                <c:pt idx="352">
                  <c:v>475.94431789206243</c:v>
                </c:pt>
                <c:pt idx="353">
                  <c:v>478.21921782863882</c:v>
                </c:pt>
                <c:pt idx="354">
                  <c:v>480.49134830478397</c:v>
                </c:pt>
                <c:pt idx="355">
                  <c:v>482.76066049107061</c:v>
                </c:pt>
                <c:pt idx="356">
                  <c:v>485.02710335514104</c:v>
                </c:pt>
                <c:pt idx="357">
                  <c:v>487.29062382555111</c:v>
                </c:pt>
                <c:pt idx="358">
                  <c:v>489.551166949584</c:v>
                </c:pt>
                <c:pt idx="359">
                  <c:v>491.80867604456546</c:v>
                </c:pt>
                <c:pt idx="360">
                  <c:v>494.06309284239001</c:v>
                </c:pt>
                <c:pt idx="361">
                  <c:v>496.31435762711538</c:v>
                </c:pt>
                <c:pt idx="362">
                  <c:v>498.56240936560454</c:v>
                </c:pt>
                <c:pt idx="363">
                  <c:v>500.80718583129209</c:v>
                </c:pt>
                <c:pt idx="364">
                  <c:v>503.04862372122699</c:v>
                </c:pt>
                <c:pt idx="365">
                  <c:v>505.28665876660023</c:v>
                </c:pt>
                <c:pt idx="366">
                  <c:v>507.52122583700702</c:v>
                </c:pt>
                <c:pt idx="367">
                  <c:v>509.75225903872024</c:v>
                </c:pt>
                <c:pt idx="368">
                  <c:v>511.97969180726903</c:v>
                </c:pt>
                <c:pt idx="369">
                  <c:v>514.20345699462439</c:v>
                </c:pt>
                <c:pt idx="370">
                  <c:v>516.42348695129431</c:v>
                </c:pt>
                <c:pt idx="371">
                  <c:v>518.63971360362882</c:v>
                </c:pt>
                <c:pt idx="372">
                  <c:v>520.85206852662554</c:v>
                </c:pt>
                <c:pt idx="373">
                  <c:v>523.06048301251758</c:v>
                </c:pt>
                <c:pt idx="374">
                  <c:v>525.26488813541221</c:v>
                </c:pt>
                <c:pt idx="375">
                  <c:v>527.46521481223613</c:v>
                </c:pt>
                <c:pt idx="376">
                  <c:v>529.66139386022712</c:v>
                </c:pt>
                <c:pt idx="377">
                  <c:v>531.85335605119997</c:v>
                </c:pt>
                <c:pt idx="378">
                  <c:v>534.04103216279725</c:v>
                </c:pt>
                <c:pt idx="379">
                  <c:v>536.22435302692384</c:v>
                </c:pt>
                <c:pt idx="380">
                  <c:v>538.40324957554799</c:v>
                </c:pt>
                <c:pt idx="381">
                  <c:v>540.5776528840413</c:v>
                </c:pt>
                <c:pt idx="382">
                  <c:v>542.74749421221463</c:v>
                </c:pt>
                <c:pt idx="383">
                  <c:v>544.912705043198</c:v>
                </c:pt>
                <c:pt idx="384">
                  <c:v>547.07321712029886</c:v>
                </c:pt>
                <c:pt idx="385">
                  <c:v>549.22896248196525</c:v>
                </c:pt>
                <c:pt idx="386">
                  <c:v>551.37987349496825</c:v>
                </c:pt>
                <c:pt idx="387">
                  <c:v>553.52588288591198</c:v>
                </c:pt>
                <c:pt idx="388">
                  <c:v>555.66692377116829</c:v>
                </c:pt>
                <c:pt idx="389">
                  <c:v>557.80292968532819</c:v>
                </c:pt>
                <c:pt idx="390">
                  <c:v>559.93383460825316</c:v>
                </c:pt>
                <c:pt idx="391">
                  <c:v>562.05957299080376</c:v>
                </c:pt>
                <c:pt idx="392">
                  <c:v>564.18007977931757</c:v>
                </c:pt>
                <c:pt idx="393">
                  <c:v>566.2952904389017</c:v>
                </c:pt>
                <c:pt idx="394">
                  <c:v>568.40514097560117</c:v>
                </c:pt>
                <c:pt idx="395">
                  <c:v>570.50956795749914</c:v>
                </c:pt>
                <c:pt idx="396">
                  <c:v>572.60850853480167</c:v>
                </c:pt>
                <c:pt idx="397">
                  <c:v>574.70190045895424</c:v>
                </c:pt>
                <c:pt idx="398">
                  <c:v>576.78968210083588</c:v>
                </c:pt>
                <c:pt idx="399">
                  <c:v>578.87179246807068</c:v>
                </c:pt>
                <c:pt idx="400">
                  <c:v>580.9481712214972</c:v>
                </c:pt>
                <c:pt idx="401">
                  <c:v>583.01875869082937</c:v>
                </c:pt>
                <c:pt idx="402">
                  <c:v>585.08349588954309</c:v>
                </c:pt>
                <c:pt idx="403">
                  <c:v>587.14232452901956</c:v>
                </c:pt>
                <c:pt idx="404">
                  <c:v>589.19518703197389</c:v>
                </c:pt>
                <c:pt idx="405">
                  <c:v>591.24202654519547</c:v>
                </c:pt>
                <c:pt idx="406">
                  <c:v>593.28278695162567</c:v>
                </c:pt>
                <c:pt idx="407">
                  <c:v>595.31741288179671</c:v>
                </c:pt>
                <c:pt idx="408">
                  <c:v>597.34584972465291</c:v>
                </c:pt>
                <c:pt idx="409">
                  <c:v>599.36804363777549</c:v>
                </c:pt>
                <c:pt idx="410">
                  <c:v>601.38394155703077</c:v>
                </c:pt>
                <c:pt idx="411">
                  <c:v>603.39349120565907</c:v>
                </c:pt>
                <c:pt idx="412">
                  <c:v>605.39664110282297</c:v>
                </c:pt>
                <c:pt idx="413">
                  <c:v>607.39334057162966</c:v>
                </c:pt>
                <c:pt idx="414">
                  <c:v>609.38353974664483</c:v>
                </c:pt>
                <c:pt idx="415">
                  <c:v>611.36718958091092</c:v>
                </c:pt>
                <c:pt idx="416">
                  <c:v>613.34424185248486</c:v>
                </c:pt>
                <c:pt idx="417">
                  <c:v>615.31464917050835</c:v>
                </c:pt>
                <c:pt idx="418">
                  <c:v>617.2783649808232</c:v>
                </c:pt>
                <c:pt idx="419">
                  <c:v>619.23534357114374</c:v>
                </c:pt>
                <c:pt idx="420">
                  <c:v>621.18554007579837</c:v>
                </c:pt>
                <c:pt idx="421">
                  <c:v>623.12891048005122</c:v>
                </c:pt>
                <c:pt idx="422">
                  <c:v>625.06541162401402</c:v>
                </c:pt>
                <c:pt idx="423">
                  <c:v>626.99500120615971</c:v>
                </c:pt>
                <c:pt idx="424">
                  <c:v>628.91763778644645</c:v>
                </c:pt>
                <c:pt idx="425">
                  <c:v>630.83328078906231</c:v>
                </c:pt>
                <c:pt idx="426">
                  <c:v>632.74189050480004</c:v>
                </c:pt>
                <c:pt idx="427">
                  <c:v>634.64342809307038</c:v>
                </c:pt>
                <c:pt idx="428">
                  <c:v>636.53785558356333</c:v>
                </c:pt>
                <c:pt idx="429">
                  <c:v>638.42513587756503</c:v>
                </c:pt>
                <c:pt idx="430">
                  <c:v>640.30523274893949</c:v>
                </c:pt>
                <c:pt idx="431">
                  <c:v>642.1781108447824</c:v>
                </c:pt>
                <c:pt idx="432">
                  <c:v>644.04373568575556</c:v>
                </c:pt>
                <c:pt idx="433">
                  <c:v>645.90207366610889</c:v>
                </c:pt>
                <c:pt idx="434">
                  <c:v>647.7530920533984</c:v>
                </c:pt>
                <c:pt idx="435">
                  <c:v>649.59675898790692</c:v>
                </c:pt>
                <c:pt idx="436">
                  <c:v>651.43304348177503</c:v>
                </c:pt>
                <c:pt idx="437">
                  <c:v>653.26191541784908</c:v>
                </c:pt>
                <c:pt idx="438">
                  <c:v>655.08334554825365</c:v>
                </c:pt>
                <c:pt idx="439">
                  <c:v>656.89730549269507</c:v>
                </c:pt>
                <c:pt idx="440">
                  <c:v>658.70376773650275</c:v>
                </c:pt>
                <c:pt idx="441">
                  <c:v>660.50270562841501</c:v>
                </c:pt>
                <c:pt idx="442">
                  <c:v>662.29409337811614</c:v>
                </c:pt>
                <c:pt idx="443">
                  <c:v>664.07790605353102</c:v>
                </c:pt>
                <c:pt idx="444">
                  <c:v>665.85411957788301</c:v>
                </c:pt>
                <c:pt idx="445">
                  <c:v>667.622710726523</c:v>
                </c:pt>
                <c:pt idx="446">
                  <c:v>669.38365712353402</c:v>
                </c:pt>
                <c:pt idx="447">
                  <c:v>671.136937238119</c:v>
                </c:pt>
                <c:pt idx="448">
                  <c:v>672.88253038077664</c:v>
                </c:pt>
                <c:pt idx="449">
                  <c:v>674.62041669927203</c:v>
                </c:pt>
                <c:pt idx="450">
                  <c:v>676.35057717440782</c:v>
                </c:pt>
                <c:pt idx="451">
                  <c:v>678.07299361560149</c:v>
                </c:pt>
                <c:pt idx="452">
                  <c:v>679.78764865627488</c:v>
                </c:pt>
                <c:pt idx="453">
                  <c:v>681.49452574906161</c:v>
                </c:pt>
                <c:pt idx="454">
                  <c:v>683.19360916083747</c:v>
                </c:pt>
                <c:pt idx="455">
                  <c:v>684.88488396758055</c:v>
                </c:pt>
                <c:pt idx="456">
                  <c:v>686.56833604906524</c:v>
                </c:pt>
                <c:pt idx="457">
                  <c:v>688.24395208339661</c:v>
                </c:pt>
                <c:pt idx="458">
                  <c:v>689.91171954139008</c:v>
                </c:pt>
                <c:pt idx="459">
                  <c:v>691.57162668080184</c:v>
                </c:pt>
                <c:pt idx="460">
                  <c:v>693.22366254041515</c:v>
                </c:pt>
                <c:pt idx="461">
                  <c:v>694.86781693398791</c:v>
                </c:pt>
                <c:pt idx="462">
                  <c:v>696.50408044406652</c:v>
                </c:pt>
                <c:pt idx="463">
                  <c:v>698.13244441567144</c:v>
                </c:pt>
                <c:pt idx="464">
                  <c:v>699.75290094985871</c:v>
                </c:pt>
                <c:pt idx="465">
                  <c:v>701.36544289716335</c:v>
                </c:pt>
                <c:pt idx="466">
                  <c:v>702.97006385092868</c:v>
                </c:pt>
                <c:pt idx="467">
                  <c:v>704.56675814052687</c:v>
                </c:pt>
                <c:pt idx="468">
                  <c:v>706.15552082447562</c:v>
                </c:pt>
                <c:pt idx="469">
                  <c:v>707.73634768345528</c:v>
                </c:pt>
                <c:pt idx="470">
                  <c:v>709.3092352132312</c:v>
                </c:pt>
                <c:pt idx="471">
                  <c:v>710.87418061748588</c:v>
                </c:pt>
                <c:pt idx="472">
                  <c:v>712.43118180056558</c:v>
                </c:pt>
                <c:pt idx="473">
                  <c:v>713.98023736014557</c:v>
                </c:pt>
                <c:pt idx="474">
                  <c:v>715.5213465798189</c:v>
                </c:pt>
                <c:pt idx="475">
                  <c:v>717.05450942161212</c:v>
                </c:pt>
                <c:pt idx="476">
                  <c:v>718.57972651843329</c:v>
                </c:pt>
                <c:pt idx="477">
                  <c:v>720.09699916645559</c:v>
                </c:pt>
                <c:pt idx="478">
                  <c:v>721.6063293174409</c:v>
                </c:pt>
                <c:pt idx="479">
                  <c:v>723.10771957100792</c:v>
                </c:pt>
                <c:pt idx="480">
                  <c:v>724.60117316684796</c:v>
                </c:pt>
                <c:pt idx="481">
                  <c:v>726.08669397689266</c:v>
                </c:pt>
                <c:pt idx="482">
                  <c:v>727.56428649743805</c:v>
                </c:pt>
                <c:pt idx="483">
                  <c:v>729.03395584122757</c:v>
                </c:pt>
                <c:pt idx="484">
                  <c:v>730.49570772949903</c:v>
                </c:pt>
                <c:pt idx="485">
                  <c:v>731.94954848399823</c:v>
                </c:pt>
                <c:pt idx="486">
                  <c:v>733.39548501896286</c:v>
                </c:pt>
                <c:pt idx="487">
                  <c:v>734.8335248330809</c:v>
                </c:pt>
                <c:pt idx="488">
                  <c:v>736.26367600142635</c:v>
                </c:pt>
                <c:pt idx="489">
                  <c:v>737.68594716737562</c:v>
                </c:pt>
                <c:pt idx="490">
                  <c:v>739.10034753450816</c:v>
                </c:pt>
                <c:pt idx="491">
                  <c:v>740.50688685849457</c:v>
                </c:pt>
                <c:pt idx="492">
                  <c:v>741.90557543897478</c:v>
                </c:pt>
                <c:pt idx="493">
                  <c:v>743.29642411143027</c:v>
                </c:pt>
                <c:pt idx="494">
                  <c:v>744.67944423905294</c:v>
                </c:pt>
                <c:pt idx="495">
                  <c:v>746.05464770461299</c:v>
                </c:pt>
                <c:pt idx="496">
                  <c:v>747.42204690232973</c:v>
                </c:pt>
                <c:pt idx="497">
                  <c:v>748.7816547297474</c:v>
                </c:pt>
                <c:pt idx="498">
                  <c:v>750.13348457961911</c:v>
                </c:pt>
                <c:pt idx="499">
                  <c:v>751.47755033180147</c:v>
                </c:pt>
                <c:pt idx="500">
                  <c:v>752.81386634516195</c:v>
                </c:pt>
                <c:pt idx="501">
                  <c:v>754.14244744950292</c:v>
                </c:pt>
                <c:pt idx="502">
                  <c:v>755.46330893750348</c:v>
                </c:pt>
                <c:pt idx="503">
                  <c:v>756.77646655668161</c:v>
                </c:pt>
                <c:pt idx="504">
                  <c:v>758.08193650138014</c:v>
                </c:pt>
                <c:pt idx="505">
                  <c:v>759.37973540477753</c:v>
                </c:pt>
                <c:pt idx="506">
                  <c:v>760.66988033092605</c:v>
                </c:pt>
                <c:pt idx="507">
                  <c:v>761.95238876681992</c:v>
                </c:pt>
                <c:pt idx="508">
                  <c:v>763.22727861449494</c:v>
                </c:pt>
                <c:pt idx="509">
                  <c:v>764.49456818316207</c:v>
                </c:pt>
                <c:pt idx="510">
                  <c:v>765.75427618137633</c:v>
                </c:pt>
                <c:pt idx="511">
                  <c:v>767.0064217092438</c:v>
                </c:pt>
                <c:pt idx="512">
                  <c:v>768.25102425066757</c:v>
                </c:pt>
                <c:pt idx="513">
                  <c:v>769.48810366563509</c:v>
                </c:pt>
                <c:pt idx="514">
                  <c:v>770.71768018254841</c:v>
                </c:pt>
                <c:pt idx="515">
                  <c:v>771.9397743905987</c:v>
                </c:pt>
                <c:pt idx="516">
                  <c:v>773.15440723218717</c:v>
                </c:pt>
                <c:pt idx="517">
                  <c:v>774.36159999539359</c:v>
                </c:pt>
                <c:pt idx="518">
                  <c:v>775.56137430649392</c:v>
                </c:pt>
                <c:pt idx="519">
                  <c:v>776.75375212252811</c:v>
                </c:pt>
                <c:pt idx="520">
                  <c:v>777.93875572392039</c:v>
                </c:pt>
                <c:pt idx="521">
                  <c:v>779.11640770715235</c:v>
                </c:pt>
                <c:pt idx="522">
                  <c:v>780.28673097749038</c:v>
                </c:pt>
                <c:pt idx="523">
                  <c:v>781.4497487417691</c:v>
                </c:pt>
                <c:pt idx="524">
                  <c:v>782.60548450123133</c:v>
                </c:pt>
                <c:pt idx="525">
                  <c:v>783.75396204442598</c:v>
                </c:pt>
                <c:pt idx="526">
                  <c:v>784.89520544016477</c:v>
                </c:pt>
                <c:pt idx="527">
                  <c:v>786.02923903053897</c:v>
                </c:pt>
                <c:pt idx="528">
                  <c:v>786.02923903053897</c:v>
                </c:pt>
                <c:pt idx="529">
                  <c:v>786.02923903053897</c:v>
                </c:pt>
                <c:pt idx="530">
                  <c:v>786.02923903053897</c:v>
                </c:pt>
                <c:pt idx="531">
                  <c:v>786.02923903053897</c:v>
                </c:pt>
                <c:pt idx="532">
                  <c:v>786.02923903053897</c:v>
                </c:pt>
                <c:pt idx="533">
                  <c:v>786.02923903053897</c:v>
                </c:pt>
                <c:pt idx="534">
                  <c:v>786.02923903053897</c:v>
                </c:pt>
                <c:pt idx="535">
                  <c:v>786.02923903053897</c:v>
                </c:pt>
                <c:pt idx="536">
                  <c:v>786.02923903053897</c:v>
                </c:pt>
                <c:pt idx="537">
                  <c:v>786.02923903053897</c:v>
                </c:pt>
                <c:pt idx="538">
                  <c:v>786.02923903053897</c:v>
                </c:pt>
                <c:pt idx="539">
                  <c:v>786.02923903053897</c:v>
                </c:pt>
                <c:pt idx="540">
                  <c:v>786.02923903053897</c:v>
                </c:pt>
                <c:pt idx="541">
                  <c:v>786.02923903053897</c:v>
                </c:pt>
                <c:pt idx="542">
                  <c:v>786.02923903053897</c:v>
                </c:pt>
                <c:pt idx="543">
                  <c:v>786.02923903053897</c:v>
                </c:pt>
                <c:pt idx="544">
                  <c:v>786.02923903053897</c:v>
                </c:pt>
                <c:pt idx="545">
                  <c:v>786.02923903053897</c:v>
                </c:pt>
                <c:pt idx="546">
                  <c:v>786.02923903053897</c:v>
                </c:pt>
                <c:pt idx="547">
                  <c:v>786.02923903053897</c:v>
                </c:pt>
                <c:pt idx="548">
                  <c:v>786.02923903053897</c:v>
                </c:pt>
                <c:pt idx="549">
                  <c:v>786.02923903053897</c:v>
                </c:pt>
                <c:pt idx="550">
                  <c:v>786.02923903053897</c:v>
                </c:pt>
                <c:pt idx="551">
                  <c:v>786.02923903053897</c:v>
                </c:pt>
                <c:pt idx="552">
                  <c:v>786.02923903053897</c:v>
                </c:pt>
                <c:pt idx="553">
                  <c:v>786.02923903053897</c:v>
                </c:pt>
                <c:pt idx="554">
                  <c:v>786.02923903053897</c:v>
                </c:pt>
                <c:pt idx="555">
                  <c:v>786.02923903053897</c:v>
                </c:pt>
                <c:pt idx="556">
                  <c:v>786.02923903053897</c:v>
                </c:pt>
                <c:pt idx="557">
                  <c:v>786.02923903053897</c:v>
                </c:pt>
                <c:pt idx="558">
                  <c:v>786.02923903053897</c:v>
                </c:pt>
                <c:pt idx="559">
                  <c:v>786.02923903053897</c:v>
                </c:pt>
                <c:pt idx="560">
                  <c:v>786.02923903053897</c:v>
                </c:pt>
                <c:pt idx="561">
                  <c:v>786.02923903053897</c:v>
                </c:pt>
                <c:pt idx="562">
                  <c:v>786.02923903053897</c:v>
                </c:pt>
                <c:pt idx="563">
                  <c:v>786.02923903053897</c:v>
                </c:pt>
                <c:pt idx="564">
                  <c:v>786.02923903053897</c:v>
                </c:pt>
                <c:pt idx="565">
                  <c:v>786.02923903053897</c:v>
                </c:pt>
                <c:pt idx="566">
                  <c:v>786.02923903053897</c:v>
                </c:pt>
                <c:pt idx="567">
                  <c:v>786.02923903053897</c:v>
                </c:pt>
                <c:pt idx="568">
                  <c:v>786.02923903053897</c:v>
                </c:pt>
                <c:pt idx="569">
                  <c:v>786.02923903053897</c:v>
                </c:pt>
                <c:pt idx="570">
                  <c:v>786.02923903053897</c:v>
                </c:pt>
                <c:pt idx="571">
                  <c:v>786.02923903053897</c:v>
                </c:pt>
                <c:pt idx="572">
                  <c:v>786.02923903053897</c:v>
                </c:pt>
                <c:pt idx="573">
                  <c:v>786.02923903053897</c:v>
                </c:pt>
                <c:pt idx="574">
                  <c:v>786.02923903053897</c:v>
                </c:pt>
                <c:pt idx="575">
                  <c:v>786.02923903053897</c:v>
                </c:pt>
                <c:pt idx="576">
                  <c:v>786.02923903053897</c:v>
                </c:pt>
                <c:pt idx="577">
                  <c:v>786.02923903053897</c:v>
                </c:pt>
                <c:pt idx="578">
                  <c:v>786.02923903053897</c:v>
                </c:pt>
                <c:pt idx="579">
                  <c:v>786.02923903053897</c:v>
                </c:pt>
                <c:pt idx="580">
                  <c:v>786.02923903053897</c:v>
                </c:pt>
                <c:pt idx="581">
                  <c:v>786.02923903053897</c:v>
                </c:pt>
                <c:pt idx="582">
                  <c:v>786.02923903053897</c:v>
                </c:pt>
                <c:pt idx="583">
                  <c:v>786.02923903053897</c:v>
                </c:pt>
                <c:pt idx="584">
                  <c:v>786.02923903053897</c:v>
                </c:pt>
                <c:pt idx="585">
                  <c:v>786.02923903053897</c:v>
                </c:pt>
                <c:pt idx="586">
                  <c:v>786.02923903053897</c:v>
                </c:pt>
                <c:pt idx="587">
                  <c:v>786.02923903053897</c:v>
                </c:pt>
                <c:pt idx="588">
                  <c:v>786.02923903053897</c:v>
                </c:pt>
                <c:pt idx="589">
                  <c:v>786.02923903053897</c:v>
                </c:pt>
                <c:pt idx="590">
                  <c:v>786.02923903053897</c:v>
                </c:pt>
                <c:pt idx="591">
                  <c:v>786.02923903053897</c:v>
                </c:pt>
                <c:pt idx="592">
                  <c:v>786.02923903053897</c:v>
                </c:pt>
                <c:pt idx="593">
                  <c:v>786.02923903053897</c:v>
                </c:pt>
                <c:pt idx="594">
                  <c:v>786.02923903053897</c:v>
                </c:pt>
                <c:pt idx="595">
                  <c:v>786.02923903053897</c:v>
                </c:pt>
                <c:pt idx="596">
                  <c:v>786.02923903053897</c:v>
                </c:pt>
                <c:pt idx="597">
                  <c:v>786.02923903053897</c:v>
                </c:pt>
                <c:pt idx="598">
                  <c:v>786.02923903053897</c:v>
                </c:pt>
                <c:pt idx="599">
                  <c:v>786.02923903053897</c:v>
                </c:pt>
                <c:pt idx="600">
                  <c:v>786.02923903053897</c:v>
                </c:pt>
                <c:pt idx="601">
                  <c:v>786.02923903053897</c:v>
                </c:pt>
                <c:pt idx="602">
                  <c:v>786.02923903053897</c:v>
                </c:pt>
                <c:pt idx="603">
                  <c:v>786.02923903053897</c:v>
                </c:pt>
                <c:pt idx="604">
                  <c:v>786.02923903053897</c:v>
                </c:pt>
                <c:pt idx="605">
                  <c:v>786.02923903053897</c:v>
                </c:pt>
                <c:pt idx="606">
                  <c:v>786.02923903053897</c:v>
                </c:pt>
                <c:pt idx="607">
                  <c:v>786.02923903053897</c:v>
                </c:pt>
                <c:pt idx="608">
                  <c:v>786.02923903053897</c:v>
                </c:pt>
                <c:pt idx="609">
                  <c:v>786.02923903053897</c:v>
                </c:pt>
                <c:pt idx="610">
                  <c:v>786.02923903053897</c:v>
                </c:pt>
                <c:pt idx="611">
                  <c:v>786.02923903053897</c:v>
                </c:pt>
                <c:pt idx="612">
                  <c:v>786.02923903053897</c:v>
                </c:pt>
                <c:pt idx="613">
                  <c:v>786.02923903053897</c:v>
                </c:pt>
                <c:pt idx="614">
                  <c:v>786.02923903053897</c:v>
                </c:pt>
                <c:pt idx="615">
                  <c:v>786.02923903053897</c:v>
                </c:pt>
                <c:pt idx="616">
                  <c:v>786.02923903053897</c:v>
                </c:pt>
                <c:pt idx="617">
                  <c:v>786.02923903053897</c:v>
                </c:pt>
                <c:pt idx="618">
                  <c:v>786.02923903053897</c:v>
                </c:pt>
                <c:pt idx="619">
                  <c:v>786.02923903053897</c:v>
                </c:pt>
                <c:pt idx="620">
                  <c:v>786.02923903053897</c:v>
                </c:pt>
                <c:pt idx="621">
                  <c:v>786.02923903053897</c:v>
                </c:pt>
                <c:pt idx="622">
                  <c:v>786.02923903053897</c:v>
                </c:pt>
                <c:pt idx="623">
                  <c:v>786.02923903053897</c:v>
                </c:pt>
                <c:pt idx="624">
                  <c:v>786.02923903053897</c:v>
                </c:pt>
                <c:pt idx="625">
                  <c:v>786.02923903053897</c:v>
                </c:pt>
                <c:pt idx="626">
                  <c:v>786.02923903053897</c:v>
                </c:pt>
                <c:pt idx="627">
                  <c:v>786.02923903053897</c:v>
                </c:pt>
                <c:pt idx="628">
                  <c:v>786.02923903053897</c:v>
                </c:pt>
                <c:pt idx="629">
                  <c:v>786.02923903053897</c:v>
                </c:pt>
                <c:pt idx="630">
                  <c:v>786.02923903053897</c:v>
                </c:pt>
                <c:pt idx="631">
                  <c:v>786.02923903053897</c:v>
                </c:pt>
                <c:pt idx="632">
                  <c:v>786.02923903053897</c:v>
                </c:pt>
                <c:pt idx="633">
                  <c:v>786.02923903053897</c:v>
                </c:pt>
                <c:pt idx="634">
                  <c:v>786.02923903053897</c:v>
                </c:pt>
                <c:pt idx="635">
                  <c:v>786.02923903053897</c:v>
                </c:pt>
                <c:pt idx="636">
                  <c:v>786.02923903053897</c:v>
                </c:pt>
                <c:pt idx="637">
                  <c:v>786.02923903053897</c:v>
                </c:pt>
                <c:pt idx="638">
                  <c:v>786.02923903053897</c:v>
                </c:pt>
                <c:pt idx="639">
                  <c:v>786.02923903053897</c:v>
                </c:pt>
                <c:pt idx="640">
                  <c:v>786.02923903053897</c:v>
                </c:pt>
                <c:pt idx="641">
                  <c:v>786.02923903053897</c:v>
                </c:pt>
                <c:pt idx="642">
                  <c:v>786.02923903053897</c:v>
                </c:pt>
                <c:pt idx="643">
                  <c:v>786.02923903053897</c:v>
                </c:pt>
                <c:pt idx="644">
                  <c:v>786.02923903053897</c:v>
                </c:pt>
                <c:pt idx="645">
                  <c:v>786.02923903053897</c:v>
                </c:pt>
                <c:pt idx="646">
                  <c:v>786.02923903053897</c:v>
                </c:pt>
                <c:pt idx="647">
                  <c:v>786.02923903053897</c:v>
                </c:pt>
                <c:pt idx="648">
                  <c:v>786.02923903053897</c:v>
                </c:pt>
                <c:pt idx="649">
                  <c:v>786.02923903053897</c:v>
                </c:pt>
                <c:pt idx="650">
                  <c:v>786.02923903053897</c:v>
                </c:pt>
                <c:pt idx="651">
                  <c:v>786.02923903053897</c:v>
                </c:pt>
                <c:pt idx="652">
                  <c:v>786.02923903053897</c:v>
                </c:pt>
                <c:pt idx="653">
                  <c:v>786.02923903053897</c:v>
                </c:pt>
                <c:pt idx="654">
                  <c:v>786.02923903053897</c:v>
                </c:pt>
                <c:pt idx="655">
                  <c:v>786.02923903053897</c:v>
                </c:pt>
                <c:pt idx="656">
                  <c:v>786.02923903053897</c:v>
                </c:pt>
                <c:pt idx="657">
                  <c:v>786.02923903053897</c:v>
                </c:pt>
                <c:pt idx="658">
                  <c:v>786.02923903053897</c:v>
                </c:pt>
                <c:pt idx="659">
                  <c:v>786.02923903053897</c:v>
                </c:pt>
                <c:pt idx="660">
                  <c:v>786.02923903053897</c:v>
                </c:pt>
                <c:pt idx="661">
                  <c:v>786.02923903053897</c:v>
                </c:pt>
                <c:pt idx="662">
                  <c:v>786.02923903053897</c:v>
                </c:pt>
                <c:pt idx="663">
                  <c:v>786.02923903053897</c:v>
                </c:pt>
                <c:pt idx="664">
                  <c:v>786.02923903053897</c:v>
                </c:pt>
                <c:pt idx="665">
                  <c:v>786.02923903053897</c:v>
                </c:pt>
                <c:pt idx="666">
                  <c:v>786.02923903053897</c:v>
                </c:pt>
                <c:pt idx="667">
                  <c:v>786.02923903053897</c:v>
                </c:pt>
                <c:pt idx="668">
                  <c:v>786.02923903053897</c:v>
                </c:pt>
                <c:pt idx="669">
                  <c:v>786.02923903053897</c:v>
                </c:pt>
                <c:pt idx="670">
                  <c:v>786.02923903053897</c:v>
                </c:pt>
                <c:pt idx="671">
                  <c:v>786.02923903053897</c:v>
                </c:pt>
                <c:pt idx="672">
                  <c:v>786.02923903053897</c:v>
                </c:pt>
                <c:pt idx="673">
                  <c:v>786.02923903053897</c:v>
                </c:pt>
                <c:pt idx="674">
                  <c:v>786.02923903053897</c:v>
                </c:pt>
                <c:pt idx="675">
                  <c:v>786.02923903053897</c:v>
                </c:pt>
                <c:pt idx="676">
                  <c:v>786.02923903053897</c:v>
                </c:pt>
                <c:pt idx="677">
                  <c:v>786.02923903053897</c:v>
                </c:pt>
                <c:pt idx="678">
                  <c:v>786.02923903053897</c:v>
                </c:pt>
                <c:pt idx="679">
                  <c:v>786.02923903053897</c:v>
                </c:pt>
                <c:pt idx="680">
                  <c:v>786.02923903053897</c:v>
                </c:pt>
                <c:pt idx="681">
                  <c:v>786.02923903053897</c:v>
                </c:pt>
                <c:pt idx="682">
                  <c:v>786.02923903053897</c:v>
                </c:pt>
                <c:pt idx="683">
                  <c:v>786.02923903053897</c:v>
                </c:pt>
                <c:pt idx="684">
                  <c:v>786.02923903053897</c:v>
                </c:pt>
                <c:pt idx="685">
                  <c:v>786.02923903053897</c:v>
                </c:pt>
                <c:pt idx="686">
                  <c:v>786.02923903053897</c:v>
                </c:pt>
                <c:pt idx="687">
                  <c:v>786.02923903053897</c:v>
                </c:pt>
                <c:pt idx="688">
                  <c:v>786.02923903053897</c:v>
                </c:pt>
                <c:pt idx="689">
                  <c:v>786.02923903053897</c:v>
                </c:pt>
                <c:pt idx="690">
                  <c:v>786.02923903053897</c:v>
                </c:pt>
                <c:pt idx="691">
                  <c:v>786.02923903053897</c:v>
                </c:pt>
                <c:pt idx="692">
                  <c:v>786.02923903053897</c:v>
                </c:pt>
                <c:pt idx="693">
                  <c:v>786.02923903053897</c:v>
                </c:pt>
                <c:pt idx="694">
                  <c:v>786.02923903053897</c:v>
                </c:pt>
                <c:pt idx="695">
                  <c:v>786.02923903053897</c:v>
                </c:pt>
                <c:pt idx="696">
                  <c:v>786.02923903053897</c:v>
                </c:pt>
                <c:pt idx="697">
                  <c:v>786.02923903053897</c:v>
                </c:pt>
                <c:pt idx="698">
                  <c:v>786.02923903053897</c:v>
                </c:pt>
                <c:pt idx="699">
                  <c:v>786.02923903053897</c:v>
                </c:pt>
                <c:pt idx="700">
                  <c:v>786.02923903053897</c:v>
                </c:pt>
                <c:pt idx="701">
                  <c:v>786.02923903053897</c:v>
                </c:pt>
                <c:pt idx="702">
                  <c:v>786.02923903053897</c:v>
                </c:pt>
                <c:pt idx="703">
                  <c:v>786.02923903053897</c:v>
                </c:pt>
                <c:pt idx="704">
                  <c:v>786.02923903053897</c:v>
                </c:pt>
                <c:pt idx="705">
                  <c:v>786.02923903053897</c:v>
                </c:pt>
                <c:pt idx="706">
                  <c:v>786.02923903053897</c:v>
                </c:pt>
                <c:pt idx="707">
                  <c:v>786.02923903053897</c:v>
                </c:pt>
                <c:pt idx="708">
                  <c:v>786.02923903053897</c:v>
                </c:pt>
                <c:pt idx="709">
                  <c:v>786.02923903053897</c:v>
                </c:pt>
                <c:pt idx="710">
                  <c:v>786.02923903053897</c:v>
                </c:pt>
                <c:pt idx="711">
                  <c:v>786.02923903053897</c:v>
                </c:pt>
                <c:pt idx="712">
                  <c:v>786.02923903053897</c:v>
                </c:pt>
                <c:pt idx="713">
                  <c:v>786.02923903053897</c:v>
                </c:pt>
                <c:pt idx="714">
                  <c:v>786.02923903053897</c:v>
                </c:pt>
                <c:pt idx="715">
                  <c:v>786.02923903053897</c:v>
                </c:pt>
                <c:pt idx="716">
                  <c:v>786.02923903053897</c:v>
                </c:pt>
                <c:pt idx="717">
                  <c:v>786.02923903053897</c:v>
                </c:pt>
                <c:pt idx="718">
                  <c:v>786.02923903053897</c:v>
                </c:pt>
                <c:pt idx="719">
                  <c:v>786.02923903053897</c:v>
                </c:pt>
                <c:pt idx="720">
                  <c:v>786.02923903053897</c:v>
                </c:pt>
                <c:pt idx="721">
                  <c:v>786.02923903053897</c:v>
                </c:pt>
                <c:pt idx="722">
                  <c:v>786.02923903053897</c:v>
                </c:pt>
                <c:pt idx="723">
                  <c:v>786.02923903053897</c:v>
                </c:pt>
                <c:pt idx="724">
                  <c:v>786.02923903053897</c:v>
                </c:pt>
                <c:pt idx="725">
                  <c:v>786.02923903053897</c:v>
                </c:pt>
                <c:pt idx="726">
                  <c:v>786.02923903053897</c:v>
                </c:pt>
                <c:pt idx="727">
                  <c:v>786.02923903053897</c:v>
                </c:pt>
                <c:pt idx="728">
                  <c:v>786.02923903053897</c:v>
                </c:pt>
                <c:pt idx="729">
                  <c:v>786.02923903053897</c:v>
                </c:pt>
                <c:pt idx="730">
                  <c:v>786.02923903053897</c:v>
                </c:pt>
                <c:pt idx="731">
                  <c:v>786.02923903053897</c:v>
                </c:pt>
                <c:pt idx="732">
                  <c:v>786.02923903053897</c:v>
                </c:pt>
                <c:pt idx="733">
                  <c:v>786.02923903053897</c:v>
                </c:pt>
                <c:pt idx="734">
                  <c:v>786.02923903053897</c:v>
                </c:pt>
                <c:pt idx="735">
                  <c:v>786.02923903053897</c:v>
                </c:pt>
                <c:pt idx="736">
                  <c:v>786.02923903053897</c:v>
                </c:pt>
                <c:pt idx="737">
                  <c:v>786.02923903053897</c:v>
                </c:pt>
                <c:pt idx="738">
                  <c:v>786.02923903053897</c:v>
                </c:pt>
                <c:pt idx="739">
                  <c:v>786.02923903053897</c:v>
                </c:pt>
                <c:pt idx="740">
                  <c:v>786.02923903053897</c:v>
                </c:pt>
                <c:pt idx="741">
                  <c:v>786.02923903053897</c:v>
                </c:pt>
                <c:pt idx="742">
                  <c:v>786.02923903053897</c:v>
                </c:pt>
                <c:pt idx="743">
                  <c:v>786.02923903053897</c:v>
                </c:pt>
                <c:pt idx="744">
                  <c:v>786.02923903053897</c:v>
                </c:pt>
                <c:pt idx="745">
                  <c:v>786.02923903053897</c:v>
                </c:pt>
                <c:pt idx="746">
                  <c:v>786.02923903053897</c:v>
                </c:pt>
                <c:pt idx="747">
                  <c:v>786.02923903053897</c:v>
                </c:pt>
                <c:pt idx="748">
                  <c:v>786.02923903053897</c:v>
                </c:pt>
                <c:pt idx="749">
                  <c:v>786.02923903053897</c:v>
                </c:pt>
                <c:pt idx="750">
                  <c:v>786.02923903053897</c:v>
                </c:pt>
                <c:pt idx="751">
                  <c:v>786.02923903053897</c:v>
                </c:pt>
                <c:pt idx="752">
                  <c:v>786.02923903053897</c:v>
                </c:pt>
                <c:pt idx="753">
                  <c:v>786.02923903053897</c:v>
                </c:pt>
                <c:pt idx="754">
                  <c:v>786.02923903053897</c:v>
                </c:pt>
                <c:pt idx="755">
                  <c:v>786.02923903053897</c:v>
                </c:pt>
                <c:pt idx="756">
                  <c:v>786.02923903053897</c:v>
                </c:pt>
                <c:pt idx="757">
                  <c:v>786.02923903053897</c:v>
                </c:pt>
                <c:pt idx="758">
                  <c:v>786.02923903053897</c:v>
                </c:pt>
                <c:pt idx="759">
                  <c:v>786.02923903053897</c:v>
                </c:pt>
                <c:pt idx="760">
                  <c:v>786.02923903053897</c:v>
                </c:pt>
                <c:pt idx="761">
                  <c:v>786.02923903053897</c:v>
                </c:pt>
                <c:pt idx="762">
                  <c:v>786.02923903053897</c:v>
                </c:pt>
                <c:pt idx="763">
                  <c:v>786.02923903053897</c:v>
                </c:pt>
                <c:pt idx="764">
                  <c:v>786.02923903053897</c:v>
                </c:pt>
                <c:pt idx="765">
                  <c:v>786.02923903053897</c:v>
                </c:pt>
                <c:pt idx="766">
                  <c:v>786.02923903053897</c:v>
                </c:pt>
                <c:pt idx="767">
                  <c:v>786.02923903053897</c:v>
                </c:pt>
                <c:pt idx="768">
                  <c:v>786.02923903053897</c:v>
                </c:pt>
                <c:pt idx="769">
                  <c:v>786.02923903053897</c:v>
                </c:pt>
                <c:pt idx="770">
                  <c:v>786.02923903053897</c:v>
                </c:pt>
                <c:pt idx="771">
                  <c:v>786.02923903053897</c:v>
                </c:pt>
                <c:pt idx="772">
                  <c:v>786.02923903053897</c:v>
                </c:pt>
                <c:pt idx="773">
                  <c:v>786.02923903053897</c:v>
                </c:pt>
                <c:pt idx="774">
                  <c:v>786.02923903053897</c:v>
                </c:pt>
                <c:pt idx="775">
                  <c:v>786.02923903053897</c:v>
                </c:pt>
                <c:pt idx="776">
                  <c:v>786.02923903053897</c:v>
                </c:pt>
                <c:pt idx="777">
                  <c:v>786.02923903053897</c:v>
                </c:pt>
                <c:pt idx="778">
                  <c:v>786.02923903053897</c:v>
                </c:pt>
                <c:pt idx="779">
                  <c:v>786.02923903053897</c:v>
                </c:pt>
                <c:pt idx="780">
                  <c:v>786.02923903053897</c:v>
                </c:pt>
                <c:pt idx="781">
                  <c:v>786.02923903053897</c:v>
                </c:pt>
                <c:pt idx="782">
                  <c:v>786.02923903053897</c:v>
                </c:pt>
                <c:pt idx="783">
                  <c:v>786.02923903053897</c:v>
                </c:pt>
                <c:pt idx="784">
                  <c:v>786.02923903053897</c:v>
                </c:pt>
                <c:pt idx="785">
                  <c:v>786.02923903053897</c:v>
                </c:pt>
                <c:pt idx="786">
                  <c:v>786.02923903053897</c:v>
                </c:pt>
                <c:pt idx="787">
                  <c:v>786.02923903053897</c:v>
                </c:pt>
                <c:pt idx="788">
                  <c:v>786.02923903053897</c:v>
                </c:pt>
                <c:pt idx="789">
                  <c:v>786.02923903053897</c:v>
                </c:pt>
                <c:pt idx="790">
                  <c:v>786.02923903053897</c:v>
                </c:pt>
                <c:pt idx="791">
                  <c:v>786.02923903053897</c:v>
                </c:pt>
                <c:pt idx="792">
                  <c:v>786.02923903053897</c:v>
                </c:pt>
                <c:pt idx="793">
                  <c:v>786.02923903053897</c:v>
                </c:pt>
                <c:pt idx="794">
                  <c:v>786.02923903053897</c:v>
                </c:pt>
                <c:pt idx="795">
                  <c:v>786.02923903053897</c:v>
                </c:pt>
                <c:pt idx="796">
                  <c:v>786.02923903053897</c:v>
                </c:pt>
                <c:pt idx="797">
                  <c:v>786.02923903053897</c:v>
                </c:pt>
                <c:pt idx="798">
                  <c:v>786.02923903053897</c:v>
                </c:pt>
                <c:pt idx="799">
                  <c:v>786.02923903053897</c:v>
                </c:pt>
                <c:pt idx="800">
                  <c:v>786.02923903053897</c:v>
                </c:pt>
                <c:pt idx="801">
                  <c:v>786.02923903053897</c:v>
                </c:pt>
                <c:pt idx="802">
                  <c:v>786.02923903053897</c:v>
                </c:pt>
                <c:pt idx="803">
                  <c:v>786.02923903053897</c:v>
                </c:pt>
                <c:pt idx="804">
                  <c:v>786.02923903053897</c:v>
                </c:pt>
                <c:pt idx="805">
                  <c:v>786.02923903053897</c:v>
                </c:pt>
                <c:pt idx="806">
                  <c:v>786.02923903053897</c:v>
                </c:pt>
                <c:pt idx="807">
                  <c:v>786.02923903053897</c:v>
                </c:pt>
                <c:pt idx="808">
                  <c:v>786.02923903053897</c:v>
                </c:pt>
                <c:pt idx="809">
                  <c:v>786.02923903053897</c:v>
                </c:pt>
                <c:pt idx="810">
                  <c:v>786.02923903053897</c:v>
                </c:pt>
                <c:pt idx="811">
                  <c:v>786.02923903053897</c:v>
                </c:pt>
                <c:pt idx="812">
                  <c:v>786.02923903053897</c:v>
                </c:pt>
                <c:pt idx="813">
                  <c:v>786.02923903053897</c:v>
                </c:pt>
                <c:pt idx="814">
                  <c:v>786.02923903053897</c:v>
                </c:pt>
                <c:pt idx="815">
                  <c:v>786.02923903053897</c:v>
                </c:pt>
                <c:pt idx="816">
                  <c:v>786.02923903053897</c:v>
                </c:pt>
                <c:pt idx="817">
                  <c:v>786.02923903053897</c:v>
                </c:pt>
                <c:pt idx="818">
                  <c:v>786.02923903053897</c:v>
                </c:pt>
                <c:pt idx="819">
                  <c:v>786.02923903053897</c:v>
                </c:pt>
                <c:pt idx="820">
                  <c:v>786.02923903053897</c:v>
                </c:pt>
                <c:pt idx="821">
                  <c:v>786.02923903053897</c:v>
                </c:pt>
                <c:pt idx="822">
                  <c:v>786.02923903053897</c:v>
                </c:pt>
                <c:pt idx="823">
                  <c:v>786.02923903053897</c:v>
                </c:pt>
                <c:pt idx="824">
                  <c:v>786.02923903053897</c:v>
                </c:pt>
                <c:pt idx="825">
                  <c:v>786.02923903053897</c:v>
                </c:pt>
                <c:pt idx="826">
                  <c:v>786.02923903053897</c:v>
                </c:pt>
                <c:pt idx="827">
                  <c:v>786.02923903053897</c:v>
                </c:pt>
                <c:pt idx="828">
                  <c:v>786.02923903053897</c:v>
                </c:pt>
                <c:pt idx="829">
                  <c:v>786.02923903053897</c:v>
                </c:pt>
                <c:pt idx="830">
                  <c:v>786.02923903053897</c:v>
                </c:pt>
                <c:pt idx="831">
                  <c:v>786.02923903053897</c:v>
                </c:pt>
                <c:pt idx="832">
                  <c:v>786.02923903053897</c:v>
                </c:pt>
                <c:pt idx="833">
                  <c:v>786.02923903053897</c:v>
                </c:pt>
                <c:pt idx="834">
                  <c:v>786.02923903053897</c:v>
                </c:pt>
                <c:pt idx="835">
                  <c:v>786.02923903053897</c:v>
                </c:pt>
                <c:pt idx="836">
                  <c:v>786.02923903053897</c:v>
                </c:pt>
                <c:pt idx="837">
                  <c:v>786.02923903053897</c:v>
                </c:pt>
                <c:pt idx="838">
                  <c:v>786.02923903053897</c:v>
                </c:pt>
                <c:pt idx="839">
                  <c:v>786.02923903053897</c:v>
                </c:pt>
                <c:pt idx="840">
                  <c:v>786.02923903053897</c:v>
                </c:pt>
                <c:pt idx="841">
                  <c:v>786.02923903053897</c:v>
                </c:pt>
                <c:pt idx="842">
                  <c:v>786.02923903053897</c:v>
                </c:pt>
                <c:pt idx="843">
                  <c:v>786.02923903053897</c:v>
                </c:pt>
                <c:pt idx="844">
                  <c:v>786.02923903053897</c:v>
                </c:pt>
                <c:pt idx="845">
                  <c:v>786.02923903053897</c:v>
                </c:pt>
                <c:pt idx="846">
                  <c:v>786.02923903053897</c:v>
                </c:pt>
                <c:pt idx="847">
                  <c:v>786.02923903053897</c:v>
                </c:pt>
                <c:pt idx="848">
                  <c:v>786.02923903053897</c:v>
                </c:pt>
                <c:pt idx="849">
                  <c:v>786.02923903053897</c:v>
                </c:pt>
                <c:pt idx="850">
                  <c:v>786.02923903053897</c:v>
                </c:pt>
                <c:pt idx="851">
                  <c:v>786.02923903053897</c:v>
                </c:pt>
                <c:pt idx="852">
                  <c:v>786.02923903053897</c:v>
                </c:pt>
                <c:pt idx="853">
                  <c:v>786.02923903053897</c:v>
                </c:pt>
                <c:pt idx="854">
                  <c:v>786.02923903053897</c:v>
                </c:pt>
                <c:pt idx="855">
                  <c:v>786.02923903053897</c:v>
                </c:pt>
                <c:pt idx="856">
                  <c:v>786.02923903053897</c:v>
                </c:pt>
                <c:pt idx="857">
                  <c:v>786.02923903053897</c:v>
                </c:pt>
                <c:pt idx="858">
                  <c:v>786.02923903053897</c:v>
                </c:pt>
                <c:pt idx="859">
                  <c:v>786.02923903053897</c:v>
                </c:pt>
                <c:pt idx="860">
                  <c:v>786.02923903053897</c:v>
                </c:pt>
                <c:pt idx="861">
                  <c:v>786.02923903053897</c:v>
                </c:pt>
                <c:pt idx="862">
                  <c:v>786.02923903053897</c:v>
                </c:pt>
                <c:pt idx="863">
                  <c:v>786.02923903053897</c:v>
                </c:pt>
                <c:pt idx="864">
                  <c:v>786.02923903053897</c:v>
                </c:pt>
                <c:pt idx="865">
                  <c:v>786.02923903053897</c:v>
                </c:pt>
                <c:pt idx="866">
                  <c:v>786.02923903053897</c:v>
                </c:pt>
                <c:pt idx="867">
                  <c:v>786.02923903053897</c:v>
                </c:pt>
                <c:pt idx="868">
                  <c:v>786.02923903053897</c:v>
                </c:pt>
                <c:pt idx="869">
                  <c:v>786.02923903053897</c:v>
                </c:pt>
                <c:pt idx="870">
                  <c:v>786.02923903053897</c:v>
                </c:pt>
                <c:pt idx="871">
                  <c:v>786.02923903053897</c:v>
                </c:pt>
                <c:pt idx="872">
                  <c:v>786.02923903053897</c:v>
                </c:pt>
                <c:pt idx="873">
                  <c:v>786.02923903053897</c:v>
                </c:pt>
                <c:pt idx="874">
                  <c:v>786.02923903053897</c:v>
                </c:pt>
                <c:pt idx="875">
                  <c:v>786.02923903053897</c:v>
                </c:pt>
                <c:pt idx="876">
                  <c:v>786.02923903053897</c:v>
                </c:pt>
                <c:pt idx="877">
                  <c:v>786.02923903053897</c:v>
                </c:pt>
                <c:pt idx="878">
                  <c:v>786.02923903053897</c:v>
                </c:pt>
                <c:pt idx="879">
                  <c:v>786.02923903053897</c:v>
                </c:pt>
                <c:pt idx="880">
                  <c:v>786.02923903053897</c:v>
                </c:pt>
                <c:pt idx="881">
                  <c:v>786.02923903053897</c:v>
                </c:pt>
                <c:pt idx="882">
                  <c:v>786.02923903053897</c:v>
                </c:pt>
                <c:pt idx="883">
                  <c:v>786.02923903053897</c:v>
                </c:pt>
                <c:pt idx="884">
                  <c:v>786.02923903053897</c:v>
                </c:pt>
                <c:pt idx="885">
                  <c:v>786.02923903053897</c:v>
                </c:pt>
                <c:pt idx="886">
                  <c:v>786.02923903053897</c:v>
                </c:pt>
                <c:pt idx="887">
                  <c:v>786.02923903053897</c:v>
                </c:pt>
                <c:pt idx="888">
                  <c:v>786.02923903053897</c:v>
                </c:pt>
                <c:pt idx="889">
                  <c:v>786.02923903053897</c:v>
                </c:pt>
                <c:pt idx="890">
                  <c:v>786.02923903053897</c:v>
                </c:pt>
                <c:pt idx="891">
                  <c:v>786.02923903053897</c:v>
                </c:pt>
                <c:pt idx="892">
                  <c:v>786.02923903053897</c:v>
                </c:pt>
                <c:pt idx="893">
                  <c:v>786.02923903053897</c:v>
                </c:pt>
                <c:pt idx="894">
                  <c:v>786.02923903053897</c:v>
                </c:pt>
                <c:pt idx="895">
                  <c:v>786.02923903053897</c:v>
                </c:pt>
                <c:pt idx="896">
                  <c:v>786.02923903053897</c:v>
                </c:pt>
                <c:pt idx="897">
                  <c:v>786.02923903053897</c:v>
                </c:pt>
                <c:pt idx="898">
                  <c:v>786.02923903053897</c:v>
                </c:pt>
                <c:pt idx="899">
                  <c:v>786.02923903053897</c:v>
                </c:pt>
                <c:pt idx="900">
                  <c:v>786.02923903053897</c:v>
                </c:pt>
                <c:pt idx="901">
                  <c:v>786.02923903053897</c:v>
                </c:pt>
                <c:pt idx="902">
                  <c:v>786.02923903053897</c:v>
                </c:pt>
                <c:pt idx="903">
                  <c:v>786.02923903053897</c:v>
                </c:pt>
                <c:pt idx="904">
                  <c:v>786.02923903053897</c:v>
                </c:pt>
                <c:pt idx="905">
                  <c:v>786.02923903053897</c:v>
                </c:pt>
                <c:pt idx="906">
                  <c:v>786.02923903053897</c:v>
                </c:pt>
                <c:pt idx="907">
                  <c:v>786.02923903053897</c:v>
                </c:pt>
                <c:pt idx="908">
                  <c:v>786.02923903053897</c:v>
                </c:pt>
                <c:pt idx="909">
                  <c:v>786.02923903053897</c:v>
                </c:pt>
                <c:pt idx="910">
                  <c:v>786.02923903053897</c:v>
                </c:pt>
                <c:pt idx="911">
                  <c:v>786.02923903053897</c:v>
                </c:pt>
                <c:pt idx="912">
                  <c:v>786.02923903053897</c:v>
                </c:pt>
                <c:pt idx="913">
                  <c:v>786.02923903053897</c:v>
                </c:pt>
                <c:pt idx="914">
                  <c:v>786.02923903053897</c:v>
                </c:pt>
                <c:pt idx="915">
                  <c:v>786.02923903053897</c:v>
                </c:pt>
                <c:pt idx="916">
                  <c:v>786.02923903053897</c:v>
                </c:pt>
                <c:pt idx="917">
                  <c:v>786.02923903053897</c:v>
                </c:pt>
                <c:pt idx="918">
                  <c:v>786.02923903053897</c:v>
                </c:pt>
                <c:pt idx="919">
                  <c:v>786.02923903053897</c:v>
                </c:pt>
                <c:pt idx="920">
                  <c:v>786.02923903053897</c:v>
                </c:pt>
                <c:pt idx="921">
                  <c:v>786.02923903053897</c:v>
                </c:pt>
                <c:pt idx="922">
                  <c:v>786.02923903053897</c:v>
                </c:pt>
                <c:pt idx="923">
                  <c:v>786.02923903053897</c:v>
                </c:pt>
                <c:pt idx="924">
                  <c:v>786.02923903053897</c:v>
                </c:pt>
                <c:pt idx="925">
                  <c:v>786.02923903053897</c:v>
                </c:pt>
                <c:pt idx="926">
                  <c:v>786.02923903053897</c:v>
                </c:pt>
                <c:pt idx="927">
                  <c:v>786.02923903053897</c:v>
                </c:pt>
                <c:pt idx="928">
                  <c:v>786.02923903053897</c:v>
                </c:pt>
                <c:pt idx="929">
                  <c:v>786.02923903053897</c:v>
                </c:pt>
                <c:pt idx="930">
                  <c:v>786.02923903053897</c:v>
                </c:pt>
                <c:pt idx="931">
                  <c:v>786.02923903053897</c:v>
                </c:pt>
                <c:pt idx="932">
                  <c:v>786.02923903053897</c:v>
                </c:pt>
                <c:pt idx="933">
                  <c:v>786.02923903053897</c:v>
                </c:pt>
                <c:pt idx="934">
                  <c:v>786.02923903053897</c:v>
                </c:pt>
                <c:pt idx="935">
                  <c:v>786.02923903053897</c:v>
                </c:pt>
                <c:pt idx="936">
                  <c:v>786.02923903053897</c:v>
                </c:pt>
                <c:pt idx="937">
                  <c:v>786.02923903053897</c:v>
                </c:pt>
                <c:pt idx="938">
                  <c:v>786.02923903053897</c:v>
                </c:pt>
                <c:pt idx="939">
                  <c:v>786.02923903053897</c:v>
                </c:pt>
                <c:pt idx="940">
                  <c:v>786.02923903053897</c:v>
                </c:pt>
                <c:pt idx="941">
                  <c:v>786.02923903053897</c:v>
                </c:pt>
                <c:pt idx="942">
                  <c:v>786.02923903053897</c:v>
                </c:pt>
                <c:pt idx="943">
                  <c:v>786.02923903053897</c:v>
                </c:pt>
                <c:pt idx="944">
                  <c:v>786.02923903053897</c:v>
                </c:pt>
                <c:pt idx="945">
                  <c:v>786.02923903053897</c:v>
                </c:pt>
                <c:pt idx="946">
                  <c:v>786.02923903053897</c:v>
                </c:pt>
                <c:pt idx="947">
                  <c:v>786.02923903053897</c:v>
                </c:pt>
                <c:pt idx="948">
                  <c:v>786.02923903053897</c:v>
                </c:pt>
                <c:pt idx="949">
                  <c:v>786.02923903053897</c:v>
                </c:pt>
                <c:pt idx="950">
                  <c:v>786.02923903053897</c:v>
                </c:pt>
                <c:pt idx="951">
                  <c:v>786.02923903053897</c:v>
                </c:pt>
                <c:pt idx="952">
                  <c:v>786.02923903053897</c:v>
                </c:pt>
                <c:pt idx="953">
                  <c:v>786.02923903053897</c:v>
                </c:pt>
                <c:pt idx="954">
                  <c:v>786.02923903053897</c:v>
                </c:pt>
                <c:pt idx="955">
                  <c:v>786.02923903053897</c:v>
                </c:pt>
                <c:pt idx="956">
                  <c:v>786.02923903053897</c:v>
                </c:pt>
                <c:pt idx="957">
                  <c:v>786.02923903053897</c:v>
                </c:pt>
                <c:pt idx="958">
                  <c:v>786.02923903053897</c:v>
                </c:pt>
                <c:pt idx="959">
                  <c:v>786.02923903053897</c:v>
                </c:pt>
                <c:pt idx="960">
                  <c:v>786.02923903053897</c:v>
                </c:pt>
                <c:pt idx="961">
                  <c:v>786.02923903053897</c:v>
                </c:pt>
                <c:pt idx="962">
                  <c:v>786.02923903053897</c:v>
                </c:pt>
                <c:pt idx="963">
                  <c:v>786.02923903053897</c:v>
                </c:pt>
                <c:pt idx="964">
                  <c:v>786.02923903053897</c:v>
                </c:pt>
                <c:pt idx="965">
                  <c:v>786.02923903053897</c:v>
                </c:pt>
                <c:pt idx="966">
                  <c:v>786.02923903053897</c:v>
                </c:pt>
                <c:pt idx="967">
                  <c:v>786.02923903053897</c:v>
                </c:pt>
                <c:pt idx="968">
                  <c:v>786.02923903053897</c:v>
                </c:pt>
                <c:pt idx="969">
                  <c:v>786.02923903053897</c:v>
                </c:pt>
                <c:pt idx="970">
                  <c:v>786.02923903053897</c:v>
                </c:pt>
                <c:pt idx="971">
                  <c:v>786.02923903053897</c:v>
                </c:pt>
                <c:pt idx="972">
                  <c:v>786.02923903053897</c:v>
                </c:pt>
                <c:pt idx="973">
                  <c:v>786.02923903053897</c:v>
                </c:pt>
                <c:pt idx="974">
                  <c:v>786.02923903053897</c:v>
                </c:pt>
                <c:pt idx="975">
                  <c:v>786.02923903053897</c:v>
                </c:pt>
                <c:pt idx="976">
                  <c:v>786.02923903053897</c:v>
                </c:pt>
                <c:pt idx="977">
                  <c:v>786.02923903053897</c:v>
                </c:pt>
                <c:pt idx="978">
                  <c:v>786.02923903053897</c:v>
                </c:pt>
                <c:pt idx="979">
                  <c:v>786.02923903053897</c:v>
                </c:pt>
                <c:pt idx="980">
                  <c:v>786.02923903053897</c:v>
                </c:pt>
                <c:pt idx="981">
                  <c:v>786.02923903053897</c:v>
                </c:pt>
                <c:pt idx="982">
                  <c:v>786.02923903053897</c:v>
                </c:pt>
                <c:pt idx="983">
                  <c:v>786.02923903053897</c:v>
                </c:pt>
                <c:pt idx="984">
                  <c:v>786.02923903053897</c:v>
                </c:pt>
                <c:pt idx="985">
                  <c:v>786.02923903053897</c:v>
                </c:pt>
                <c:pt idx="986">
                  <c:v>786.02923903053897</c:v>
                </c:pt>
                <c:pt idx="987">
                  <c:v>786.02923903053897</c:v>
                </c:pt>
                <c:pt idx="988">
                  <c:v>786.02923903053897</c:v>
                </c:pt>
                <c:pt idx="989">
                  <c:v>786.02923903053897</c:v>
                </c:pt>
                <c:pt idx="990">
                  <c:v>786.02923903053897</c:v>
                </c:pt>
                <c:pt idx="991">
                  <c:v>786.02923903053897</c:v>
                </c:pt>
                <c:pt idx="992">
                  <c:v>786.02923903053897</c:v>
                </c:pt>
                <c:pt idx="993">
                  <c:v>786.02923903053897</c:v>
                </c:pt>
                <c:pt idx="994">
                  <c:v>786.02923903053897</c:v>
                </c:pt>
                <c:pt idx="995">
                  <c:v>786.02923903053897</c:v>
                </c:pt>
                <c:pt idx="996">
                  <c:v>786.02923903053897</c:v>
                </c:pt>
                <c:pt idx="997">
                  <c:v>786.02923903053897</c:v>
                </c:pt>
                <c:pt idx="998">
                  <c:v>786.02923903053897</c:v>
                </c:pt>
                <c:pt idx="999">
                  <c:v>786.02923903053897</c:v>
                </c:pt>
                <c:pt idx="1000">
                  <c:v>786.02923903053897</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Calculs!$K$4:$K$1004</c:f>
              <c:numCache>
                <c:formatCode>0.00</c:formatCode>
                <c:ptCount val="1001"/>
                <c:pt idx="0">
                  <c:v>0</c:v>
                </c:pt>
                <c:pt idx="1">
                  <c:v>9.5669889931573524E-4</c:v>
                </c:pt>
                <c:pt idx="2">
                  <c:v>7.8147455232856784E-3</c:v>
                </c:pt>
                <c:pt idx="3">
                  <c:v>2.6992684424835094E-2</c:v>
                </c:pt>
                <c:pt idx="4">
                  <c:v>6.0667505481540311E-2</c:v>
                </c:pt>
                <c:pt idx="5">
                  <c:v>0.10833133201655158</c:v>
                </c:pt>
                <c:pt idx="6">
                  <c:v>0.16963037567637684</c:v>
                </c:pt>
                <c:pt idx="7">
                  <c:v>0.24452081130294206</c:v>
                </c:pt>
                <c:pt idx="8">
                  <c:v>0.33311404982606618</c:v>
                </c:pt>
                <c:pt idx="9">
                  <c:v>0.43552155773738688</c:v>
                </c:pt>
                <c:pt idx="10">
                  <c:v>0.55185485461711581</c:v>
                </c:pt>
                <c:pt idx="11">
                  <c:v>0.68220937776239388</c:v>
                </c:pt>
                <c:pt idx="12">
                  <c:v>0.82664829999510614</c:v>
                </c:pt>
                <c:pt idx="13">
                  <c:v>0.98521859103618514</c:v>
                </c:pt>
                <c:pt idx="14">
                  <c:v>1.1579671260518243</c:v>
                </c:pt>
                <c:pt idx="15">
                  <c:v>1.3449406838593987</c:v>
                </c:pt>
                <c:pt idx="16">
                  <c:v>1.5461859451278346</c:v>
                </c:pt>
                <c:pt idx="17">
                  <c:v>1.7617494905725721</c:v>
                </c:pt>
                <c:pt idx="18">
                  <c:v>1.9916777991452683</c:v>
                </c:pt>
                <c:pt idx="19">
                  <c:v>2.2360172462183869</c:v>
                </c:pt>
                <c:pt idx="20">
                  <c:v>2.4948141017648275</c:v>
                </c:pt>
                <c:pt idx="21">
                  <c:v>2.7681080494960266</c:v>
                </c:pt>
                <c:pt idx="22">
                  <c:v>3.0559256875977927</c:v>
                </c:pt>
                <c:pt idx="23">
                  <c:v>3.3582869794392054</c:v>
                </c:pt>
                <c:pt idx="24">
                  <c:v>3.6752117230480756</c:v>
                </c:pt>
                <c:pt idx="25">
                  <c:v>4.006719550019838</c:v>
                </c:pt>
                <c:pt idx="26">
                  <c:v>4.3528151225208758</c:v>
                </c:pt>
                <c:pt idx="27">
                  <c:v>4.7135022929252681</c:v>
                </c:pt>
                <c:pt idx="28">
                  <c:v>5.0887989139176417</c:v>
                </c:pt>
                <c:pt idx="29">
                  <c:v>5.4787226962524684</c:v>
                </c:pt>
                <c:pt idx="30">
                  <c:v>5.8832912166398641</c:v>
                </c:pt>
                <c:pt idx="31">
                  <c:v>6.3025219141642737</c:v>
                </c:pt>
                <c:pt idx="32">
                  <c:v>6.7364320869631626</c:v>
                </c:pt>
                <c:pt idx="33">
                  <c:v>7.1850388891331489</c:v>
                </c:pt>
                <c:pt idx="34">
                  <c:v>7.6483593278361628</c:v>
                </c:pt>
                <c:pt idx="35">
                  <c:v>8.1264102605823965</c:v>
                </c:pt>
                <c:pt idx="36">
                  <c:v>8.6192083926702825</c:v>
                </c:pt>
                <c:pt idx="37">
                  <c:v>9.1267702747665815</c:v>
                </c:pt>
                <c:pt idx="38">
                  <c:v>9.6491123006120247</c:v>
                </c:pt>
                <c:pt idx="39">
                  <c:v>10.186250704839962</c:v>
                </c:pt>
                <c:pt idx="40">
                  <c:v>10.738201560897135</c:v>
                </c:pt>
                <c:pt idx="41">
                  <c:v>11.30497573154603</c:v>
                </c:pt>
                <c:pt idx="42">
                  <c:v>11.886573806987526</c:v>
                </c:pt>
                <c:pt idx="43">
                  <c:v>12.48299113334086</c:v>
                </c:pt>
                <c:pt idx="44">
                  <c:v>13.094222854003295</c:v>
                </c:pt>
                <c:pt idx="45">
                  <c:v>13.720263908657003</c:v>
                </c:pt>
                <c:pt idx="46">
                  <c:v>14.361109032348294</c:v>
                </c:pt>
                <c:pt idx="47">
                  <c:v>15.016752754634005</c:v>
                </c:pt>
                <c:pt idx="48">
                  <c:v>15.687189398790466</c:v>
                </c:pt>
                <c:pt idx="49">
                  <c:v>16.372413081080914</c:v>
                </c:pt>
                <c:pt idx="50">
                  <c:v>17.072417710077747</c:v>
                </c:pt>
                <c:pt idx="51">
                  <c:v>17.787196986036282</c:v>
                </c:pt>
                <c:pt idx="52">
                  <c:v>18.516744400317094</c:v>
                </c:pt>
                <c:pt idx="53">
                  <c:v>19.261053234854291</c:v>
                </c:pt>
                <c:pt idx="54">
                  <c:v>20.020116561667326</c:v>
                </c:pt>
                <c:pt idx="55">
                  <c:v>20.793927242414163</c:v>
                </c:pt>
                <c:pt idx="56">
                  <c:v>21.58247792798387</c:v>
                </c:pt>
                <c:pt idx="57">
                  <c:v>22.385761058126832</c:v>
                </c:pt>
                <c:pt idx="58">
                  <c:v>23.203768861120967</c:v>
                </c:pt>
                <c:pt idx="59">
                  <c:v>24.036493353472483</c:v>
                </c:pt>
                <c:pt idx="60">
                  <c:v>24.883926339649811</c:v>
                </c:pt>
                <c:pt idx="61">
                  <c:v>25.746059411849487</c:v>
                </c:pt>
                <c:pt idx="62">
                  <c:v>26.62288394979284</c:v>
                </c:pt>
                <c:pt idx="63">
                  <c:v>27.514391120552467</c:v>
                </c:pt>
                <c:pt idx="64">
                  <c:v>28.420571878407515</c:v>
                </c:pt>
                <c:pt idx="65">
                  <c:v>29.341416964726893</c:v>
                </c:pt>
                <c:pt idx="66">
                  <c:v>30.276916907879627</c:v>
                </c:pt>
                <c:pt idx="67">
                  <c:v>31.227062023171555</c:v>
                </c:pt>
                <c:pt idx="68">
                  <c:v>32.191842412807688</c:v>
                </c:pt>
                <c:pt idx="69">
                  <c:v>33.171247965879623</c:v>
                </c:pt>
                <c:pt idx="70">
                  <c:v>34.165268358377332</c:v>
                </c:pt>
                <c:pt idx="71">
                  <c:v>35.173893053224816</c:v>
                </c:pt>
                <c:pt idx="72">
                  <c:v>36.197111300339095</c:v>
                </c:pt>
                <c:pt idx="73">
                  <c:v>37.234912136712033</c:v>
                </c:pt>
                <c:pt idx="74">
                  <c:v>38.287284386514528</c:v>
                </c:pt>
                <c:pt idx="75">
                  <c:v>39.354216661222665</c:v>
                </c:pt>
                <c:pt idx="76">
                  <c:v>40.435697359765399</c:v>
                </c:pt>
                <c:pt idx="77">
                  <c:v>41.53171466869339</c:v>
                </c:pt>
                <c:pt idx="78">
                  <c:v>42.642256562368658</c:v>
                </c:pt>
                <c:pt idx="79">
                  <c:v>43.767310803174666</c:v>
                </c:pt>
                <c:pt idx="80">
                  <c:v>44.906864941746555</c:v>
                </c:pt>
                <c:pt idx="81">
                  <c:v>46.060901173973988</c:v>
                </c:pt>
                <c:pt idx="82">
                  <c:v>47.229391188020493</c:v>
                </c:pt>
                <c:pt idx="83">
                  <c:v>48.41230129613966</c:v>
                </c:pt>
                <c:pt idx="84">
                  <c:v>49.609597576989934</c:v>
                </c:pt>
                <c:pt idx="85">
                  <c:v>50.821245876915398</c:v>
                </c:pt>
                <c:pt idx="86">
                  <c:v>52.047211811247202</c:v>
                </c:pt>
                <c:pt idx="87">
                  <c:v>53.287460765625205</c:v>
                </c:pt>
                <c:pt idx="88">
                  <c:v>54.541957897339366</c:v>
                </c:pt>
                <c:pt idx="89">
                  <c:v>55.810668136690488</c:v>
                </c:pt>
                <c:pt idx="90">
                  <c:v>57.093556188369924</c:v>
                </c:pt>
                <c:pt idx="91">
                  <c:v>58.390584258023168</c:v>
                </c:pt>
                <c:pt idx="92">
                  <c:v>59.701709774842016</c:v>
                </c:pt>
                <c:pt idx="93">
                  <c:v>61.026887663502151</c:v>
                </c:pt>
                <c:pt idx="94">
                  <c:v>62.366072620338954</c:v>
                </c:pt>
                <c:pt idx="95">
                  <c:v>63.719219115278584</c:v>
                </c:pt>
                <c:pt idx="96">
                  <c:v>65.086281393785441</c:v>
                </c:pt>
                <c:pt idx="97">
                  <c:v>66.467213478825656</c:v>
                </c:pt>
                <c:pt idx="98">
                  <c:v>67.861969172846131</c:v>
                </c:pt>
                <c:pt idx="99">
                  <c:v>69.27050205976866</c:v>
                </c:pt>
                <c:pt idx="100">
                  <c:v>70.692765506998754</c:v>
                </c:pt>
                <c:pt idx="101">
                  <c:v>72.128712303204182</c:v>
                </c:pt>
                <c:pt idx="102">
                  <c:v>73.578294295543742</c:v>
                </c:pt>
                <c:pt idx="103">
                  <c:v>75.041462755411374</c:v>
                </c:pt>
                <c:pt idx="104">
                  <c:v>76.518168744794778</c:v>
                </c:pt>
                <c:pt idx="105">
                  <c:v>78.00836311842717</c:v>
                </c:pt>
                <c:pt idx="106">
                  <c:v>79.511996525951048</c:v>
                </c:pt>
                <c:pt idx="107">
                  <c:v>81.029019414093682</c:v>
                </c:pt>
                <c:pt idx="108">
                  <c:v>82.559382028853761</c:v>
                </c:pt>
                <c:pt idx="109">
                  <c:v>84.10303441769895</c:v>
                </c:pt>
                <c:pt idx="110">
                  <c:v>85.659926431773883</c:v>
                </c:pt>
                <c:pt idx="111">
                  <c:v>87.23001192631898</c:v>
                </c:pt>
                <c:pt idx="112">
                  <c:v>88.813252966740635</c:v>
                </c:pt>
                <c:pt idx="113">
                  <c:v>90.409615637399767</c:v>
                </c:pt>
                <c:pt idx="114">
                  <c:v>92.01906584435514</c:v>
                </c:pt>
                <c:pt idx="115">
                  <c:v>93.64156931679392</c:v>
                </c:pt>
                <c:pt idx="116">
                  <c:v>95.277091608472546</c:v>
                </c:pt>
                <c:pt idx="117">
                  <c:v>96.925598099167672</c:v>
                </c:pt>
                <c:pt idx="118">
                  <c:v>98.587053996136902</c:v>
                </c:pt>
                <c:pt idx="119">
                  <c:v>100.26142433558914</c:v>
                </c:pt>
                <c:pt idx="120">
                  <c:v>101.94867398416433</c:v>
                </c:pt>
                <c:pt idx="121">
                  <c:v>103.64876066985023</c:v>
                </c:pt>
                <c:pt idx="122">
                  <c:v>105.3616280047659</c:v>
                </c:pt>
                <c:pt idx="123">
                  <c:v>107.08721245174156</c:v>
                </c:pt>
                <c:pt idx="124">
                  <c:v>108.8254502997507</c:v>
                </c:pt>
                <c:pt idx="125">
                  <c:v>110.57627766683351</c:v>
                </c:pt>
                <c:pt idx="126">
                  <c:v>112.33963050302273</c:v>
                </c:pt>
                <c:pt idx="127">
                  <c:v>114.11544459327139</c:v>
                </c:pt>
                <c:pt idx="128">
                  <c:v>115.90365556038202</c:v>
                </c:pt>
                <c:pt idx="129">
                  <c:v>117.70419886793688</c:v>
                </c:pt>
                <c:pt idx="130">
                  <c:v>119.51700982322879</c:v>
                </c:pt>
                <c:pt idx="131">
                  <c:v>121.34202175337278</c:v>
                </c:pt>
                <c:pt idx="132">
                  <c:v>123.17916417971402</c:v>
                </c:pt>
                <c:pt idx="133">
                  <c:v>125.0283646469301</c:v>
                </c:pt>
                <c:pt idx="134">
                  <c:v>126.88955055403305</c:v>
                </c:pt>
                <c:pt idx="135">
                  <c:v>128.76264915769033</c:v>
                </c:pt>
                <c:pt idx="136">
                  <c:v>130.64758757554105</c:v>
                </c:pt>
                <c:pt idx="137">
                  <c:v>132.5442927895073</c:v>
                </c:pt>
                <c:pt idx="138">
                  <c:v>134.45269164909971</c:v>
                </c:pt>
                <c:pt idx="139">
                  <c:v>136.37271087471717</c:v>
                </c:pt>
                <c:pt idx="140">
                  <c:v>138.30427706094005</c:v>
                </c:pt>
                <c:pt idx="141">
                  <c:v>140.24729481493463</c:v>
                </c:pt>
                <c:pt idx="142">
                  <c:v>142.20162488015424</c:v>
                </c:pt>
                <c:pt idx="143">
                  <c:v>144.16710600725878</c:v>
                </c:pt>
                <c:pt idx="144">
                  <c:v>146.14357684261009</c:v>
                </c:pt>
                <c:pt idx="145">
                  <c:v>148.13087593727192</c:v>
                </c:pt>
                <c:pt idx="146">
                  <c:v>150.12884175594004</c:v>
                </c:pt>
                <c:pt idx="147">
                  <c:v>152.13731268580099</c:v>
                </c:pt>
                <c:pt idx="148">
                  <c:v>154.15612704531819</c:v>
                </c:pt>
                <c:pt idx="149">
                  <c:v>156.18512309294394</c:v>
                </c:pt>
                <c:pt idx="150">
                  <c:v>158.22413903575611</c:v>
                </c:pt>
                <c:pt idx="151">
                  <c:v>160.27301303801812</c:v>
                </c:pt>
                <c:pt idx="152">
                  <c:v>162.33158322966094</c:v>
                </c:pt>
                <c:pt idx="153">
                  <c:v>164.39968771468605</c:v>
                </c:pt>
                <c:pt idx="154">
                  <c:v>166.47716457948809</c:v>
                </c:pt>
                <c:pt idx="155">
                  <c:v>168.56385190109609</c:v>
                </c:pt>
                <c:pt idx="156">
                  <c:v>170.65948406873861</c:v>
                </c:pt>
                <c:pt idx="157">
                  <c:v>172.76358810997405</c:v>
                </c:pt>
                <c:pt idx="158">
                  <c:v>174.87558752968414</c:v>
                </c:pt>
                <c:pt idx="159">
                  <c:v>176.99490617163832</c:v>
                </c:pt>
                <c:pt idx="160">
                  <c:v>179.1209682804064</c:v>
                </c:pt>
                <c:pt idx="161">
                  <c:v>181.25306670071873</c:v>
                </c:pt>
                <c:pt idx="162">
                  <c:v>183.39023118914014</c:v>
                </c:pt>
                <c:pt idx="163">
                  <c:v>185.53137327724281</c:v>
                </c:pt>
                <c:pt idx="164">
                  <c:v>187.67543107044997</c:v>
                </c:pt>
                <c:pt idx="165">
                  <c:v>189.82148279423609</c:v>
                </c:pt>
                <c:pt idx="166">
                  <c:v>191.96886013002424</c:v>
                </c:pt>
                <c:pt idx="167">
                  <c:v>194.11692611771124</c:v>
                </c:pt>
                <c:pt idx="168">
                  <c:v>196.26492268820803</c:v>
                </c:pt>
                <c:pt idx="169">
                  <c:v>198.41186894639603</c:v>
                </c:pt>
                <c:pt idx="170">
                  <c:v>200.5565290609434</c:v>
                </c:pt>
                <c:pt idx="171">
                  <c:v>202.69803915135117</c:v>
                </c:pt>
                <c:pt idx="172">
                  <c:v>204.83618618955552</c:v>
                </c:pt>
                <c:pt idx="173">
                  <c:v>206.97097811692322</c:v>
                </c:pt>
                <c:pt idx="174">
                  <c:v>209.10242284155143</c:v>
                </c:pt>
                <c:pt idx="175">
                  <c:v>211.23052823845293</c:v>
                </c:pt>
                <c:pt idx="176">
                  <c:v>213.35530214974031</c:v>
                </c:pt>
                <c:pt idx="177">
                  <c:v>215.47675238480855</c:v>
                </c:pt>
                <c:pt idx="178">
                  <c:v>217.5948867205166</c:v>
                </c:pt>
                <c:pt idx="179">
                  <c:v>219.70971290136751</c:v>
                </c:pt>
                <c:pt idx="180">
                  <c:v>221.82123863968746</c:v>
                </c:pt>
                <c:pt idx="181">
                  <c:v>223.92947161580332</c:v>
                </c:pt>
                <c:pt idx="182">
                  <c:v>226.03441947821921</c:v>
                </c:pt>
                <c:pt idx="183">
                  <c:v>228.13608984379167</c:v>
                </c:pt>
                <c:pt idx="184">
                  <c:v>230.23449029790373</c:v>
                </c:pt>
                <c:pt idx="185">
                  <c:v>232.32962839463764</c:v>
                </c:pt>
                <c:pt idx="186">
                  <c:v>234.42151165694651</c:v>
                </c:pt>
                <c:pt idx="187">
                  <c:v>236.51014757682478</c:v>
                </c:pt>
                <c:pt idx="188">
                  <c:v>238.59554361547742</c:v>
                </c:pt>
                <c:pt idx="189">
                  <c:v>240.67770720348804</c:v>
                </c:pt>
                <c:pt idx="190">
                  <c:v>242.75664574098573</c:v>
                </c:pt>
                <c:pt idx="191">
                  <c:v>244.83236659781096</c:v>
                </c:pt>
                <c:pt idx="192">
                  <c:v>246.90487711368016</c:v>
                </c:pt>
                <c:pt idx="193">
                  <c:v>248.97418459834918</c:v>
                </c:pt>
                <c:pt idx="194">
                  <c:v>251.04029633177583</c:v>
                </c:pt>
                <c:pt idx="195">
                  <c:v>253.10321956428098</c:v>
                </c:pt>
                <c:pt idx="196">
                  <c:v>255.16296151670886</c:v>
                </c:pt>
                <c:pt idx="197">
                  <c:v>257.21952938058615</c:v>
                </c:pt>
                <c:pt idx="198">
                  <c:v>259.27293031827998</c:v>
                </c:pt>
                <c:pt idx="199">
                  <c:v>261.32317146315472</c:v>
                </c:pt>
                <c:pt idx="200">
                  <c:v>263.37025991972808</c:v>
                </c:pt>
                <c:pt idx="201">
                  <c:v>283.66829468346327</c:v>
                </c:pt>
                <c:pt idx="202">
                  <c:v>303.65560741061989</c:v>
                </c:pt>
                <c:pt idx="203">
                  <c:v>323.33903236373135</c:v>
                </c:pt>
                <c:pt idx="204">
                  <c:v>342.72513496630921</c:v>
                </c:pt>
                <c:pt idx="205">
                  <c:v>361.82022568921786</c:v>
                </c:pt>
                <c:pt idx="206">
                  <c:v>380.63037304105472</c:v>
                </c:pt>
                <c:pt idx="207">
                  <c:v>399.16141573136991</c:v>
                </c:pt>
                <c:pt idx="208">
                  <c:v>417.41897406944025</c:v>
                </c:pt>
                <c:pt idx="209">
                  <c:v>435.40846065581081</c:v>
                </c:pt>
                <c:pt idx="210">
                  <c:v>453.1350904188613</c:v>
                </c:pt>
                <c:pt idx="211">
                  <c:v>470.6038900441842</c:v>
                </c:pt>
                <c:pt idx="212">
                  <c:v>487.81970684052635</c:v>
                </c:pt>
                <c:pt idx="213">
                  <c:v>504.78721708239391</c:v>
                </c:pt>
                <c:pt idx="214">
                  <c:v>521.51093386611592</c:v>
                </c:pt>
                <c:pt idx="215">
                  <c:v>537.99521451316571</c:v>
                </c:pt>
                <c:pt idx="216">
                  <c:v>554.24426755181798</c:v>
                </c:pt>
                <c:pt idx="217">
                  <c:v>570.26215930574847</c:v>
                </c:pt>
                <c:pt idx="218">
                  <c:v>586.05282011593454</c:v>
                </c:pt>
                <c:pt idx="219">
                  <c:v>601.62005022016444</c:v>
                </c:pt>
                <c:pt idx="220">
                  <c:v>616.96752531259722</c:v>
                </c:pt>
                <c:pt idx="221">
                  <c:v>632.09880180410789</c:v>
                </c:pt>
                <c:pt idx="222">
                  <c:v>647.01732180259648</c:v>
                </c:pt>
                <c:pt idx="223">
                  <c:v>661.72641783101085</c:v>
                </c:pt>
                <c:pt idx="224">
                  <c:v>676.22931729953143</c:v>
                </c:pt>
                <c:pt idx="225">
                  <c:v>690.52914674716646</c:v>
                </c:pt>
                <c:pt idx="226">
                  <c:v>704.62893586691018</c:v>
                </c:pt>
                <c:pt idx="227">
                  <c:v>718.53162132760872</c:v>
                </c:pt>
                <c:pt idx="228">
                  <c:v>732.24005040475038</c:v>
                </c:pt>
                <c:pt idx="229">
                  <c:v>745.75698443154556</c:v>
                </c:pt>
                <c:pt idx="230">
                  <c:v>759.08510208087625</c:v>
                </c:pt>
                <c:pt idx="231">
                  <c:v>772.22700248797207</c:v>
                </c:pt>
                <c:pt idx="232">
                  <c:v>785.18520822300138</c:v>
                </c:pt>
                <c:pt idx="233">
                  <c:v>797.96216812215118</c:v>
                </c:pt>
                <c:pt idx="234">
                  <c:v>810.56025998519976</c:v>
                </c:pt>
                <c:pt idx="235">
                  <c:v>822.98179314705976</c:v>
                </c:pt>
                <c:pt idx="236">
                  <c:v>835.22901093028247</c:v>
                </c:pt>
                <c:pt idx="237">
                  <c:v>847.30409298506368</c:v>
                </c:pt>
                <c:pt idx="238">
                  <c:v>859.20915752287192</c:v>
                </c:pt>
                <c:pt idx="239">
                  <c:v>870.94626344943447</c:v>
                </c:pt>
                <c:pt idx="240">
                  <c:v>882.51741240245531</c:v>
                </c:pt>
                <c:pt idx="241">
                  <c:v>893.92455069910454</c:v>
                </c:pt>
                <c:pt idx="242">
                  <c:v>905.169571198011</c:v>
                </c:pt>
                <c:pt idx="243">
                  <c:v>916.25431508019699</c:v>
                </c:pt>
                <c:pt idx="244">
                  <c:v>927.18057355312931</c:v>
                </c:pt>
                <c:pt idx="245">
                  <c:v>937.95008948180725</c:v>
                </c:pt>
                <c:pt idx="246">
                  <c:v>948.56455895057707</c:v>
                </c:pt>
                <c:pt idx="247">
                  <c:v>959.02563275914395</c:v>
                </c:pt>
                <c:pt idx="248">
                  <c:v>969.33491785604974</c:v>
                </c:pt>
                <c:pt idx="249">
                  <c:v>979.49397871269559</c:v>
                </c:pt>
                <c:pt idx="250">
                  <c:v>989.5043386408114</c:v>
                </c:pt>
                <c:pt idx="251">
                  <c:v>999.36748105610877</c:v>
                </c:pt>
                <c:pt idx="252">
                  <c:v>1009.0848506906991</c:v>
                </c:pt>
                <c:pt idx="253">
                  <c:v>1018.6578547567143</c:v>
                </c:pt>
                <c:pt idx="254">
                  <c:v>1028.0878640634319</c:v>
                </c:pt>
                <c:pt idx="255">
                  <c:v>1037.3762140900787</c:v>
                </c:pt>
                <c:pt idx="256">
                  <c:v>1046.5242060163703</c:v>
                </c:pt>
                <c:pt idx="257">
                  <c:v>1055.5331077127275</c:v>
                </c:pt>
                <c:pt idx="258">
                  <c:v>1064.4041546920148</c:v>
                </c:pt>
                <c:pt idx="259">
                  <c:v>1073.1385510245357</c:v>
                </c:pt>
                <c:pt idx="260">
                  <c:v>1081.7374702179393</c:v>
                </c:pt>
                <c:pt idx="261">
                  <c:v>1090.2020560635988</c:v>
                </c:pt>
                <c:pt idx="262">
                  <c:v>1098.5334234509421</c:v>
                </c:pt>
                <c:pt idx="263">
                  <c:v>1106.732659151141</c:v>
                </c:pt>
                <c:pt idx="264">
                  <c:v>1114.80082257149</c:v>
                </c:pt>
                <c:pt idx="265">
                  <c:v>1122.7389464817406</c:v>
                </c:pt>
                <c:pt idx="266">
                  <c:v>1130.5480377135914</c:v>
                </c:pt>
                <c:pt idx="267">
                  <c:v>1138.2290778344752</c:v>
                </c:pt>
                <c:pt idx="268">
                  <c:v>1145.7830237967282</c:v>
                </c:pt>
                <c:pt idx="269">
                  <c:v>1153.2108085631705</c:v>
                </c:pt>
                <c:pt idx="270">
                  <c:v>1160.5133417100819</c:v>
                </c:pt>
                <c:pt idx="271">
                  <c:v>1167.6915100085039</c:v>
                </c:pt>
                <c:pt idx="272">
                  <c:v>1174.7461779847579</c:v>
                </c:pt>
                <c:pt idx="273">
                  <c:v>1181.6781884610273</c:v>
                </c:pt>
                <c:pt idx="274">
                  <c:v>1188.4883630768104</c:v>
                </c:pt>
                <c:pt idx="275">
                  <c:v>1195.1775027920141</c:v>
                </c:pt>
                <c:pt idx="276">
                  <c:v>1201.7463883724231</c:v>
                </c:pt>
                <c:pt idx="277">
                  <c:v>1208.1957808582474</c:v>
                </c:pt>
                <c:pt idx="278">
                  <c:v>1214.5264220164181</c:v>
                </c:pt>
                <c:pt idx="279">
                  <c:v>1220.739034777273</c:v>
                </c:pt>
                <c:pt idx="280">
                  <c:v>1226.8343236562464</c:v>
                </c:pt>
                <c:pt idx="281">
                  <c:v>1232.8129751611496</c:v>
                </c:pt>
                <c:pt idx="282">
                  <c:v>1238.6756581856084</c:v>
                </c:pt>
                <c:pt idx="283">
                  <c:v>1244.4230243891961</c:v>
                </c:pt>
                <c:pt idx="284">
                  <c:v>1250.0557085647838</c:v>
                </c:pt>
                <c:pt idx="285">
                  <c:v>1255.5743289936074</c:v>
                </c:pt>
                <c:pt idx="286">
                  <c:v>1260.9794877885349</c:v>
                </c:pt>
                <c:pt idx="287">
                  <c:v>1266.2717712259966</c:v>
                </c:pt>
                <c:pt idx="288">
                  <c:v>1271.4517500670313</c:v>
                </c:pt>
                <c:pt idx="289">
                  <c:v>1276.5199798678821</c:v>
                </c:pt>
                <c:pt idx="290">
                  <c:v>1281.4770012805673</c:v>
                </c:pt>
                <c:pt idx="291">
                  <c:v>1286.3233403438369</c:v>
                </c:pt>
                <c:pt idx="292">
                  <c:v>1291.0595087649178</c:v>
                </c:pt>
                <c:pt idx="293">
                  <c:v>1295.6860041924433</c:v>
                </c:pt>
                <c:pt idx="294">
                  <c:v>1300.2033104809532</c:v>
                </c:pt>
                <c:pt idx="295">
                  <c:v>1304.6118979473474</c:v>
                </c:pt>
                <c:pt idx="296">
                  <c:v>1308.9122236196747</c:v>
                </c:pt>
                <c:pt idx="297">
                  <c:v>1313.1047314786308</c:v>
                </c:pt>
                <c:pt idx="298">
                  <c:v>1317.1898526921482</c:v>
                </c:pt>
                <c:pt idx="299">
                  <c:v>1321.1680058434563</c:v>
                </c:pt>
                <c:pt idx="300">
                  <c:v>1325.0395971529981</c:v>
                </c:pt>
                <c:pt idx="301">
                  <c:v>1328.8050206945975</c:v>
                </c:pt>
                <c:pt idx="302">
                  <c:v>1332.4646586062788</c:v>
                </c:pt>
                <c:pt idx="303">
                  <c:v>1336.0188812961553</c:v>
                </c:pt>
                <c:pt idx="304">
                  <c:v>1339.4680476438182</c:v>
                </c:pt>
                <c:pt idx="305">
                  <c:v>1342.8125051976776</c:v>
                </c:pt>
                <c:pt idx="306">
                  <c:v>1346.0525903687308</c:v>
                </c:pt>
                <c:pt idx="307">
                  <c:v>1349.1886286212577</c:v>
                </c:pt>
                <c:pt idx="308">
                  <c:v>1352.2209346609814</c:v>
                </c:pt>
                <c:pt idx="309">
                  <c:v>1355.1498126212621</c:v>
                </c:pt>
                <c:pt idx="310">
                  <c:v>1357.9755562479399</c:v>
                </c:pt>
                <c:pt idx="311">
                  <c:v>1360.6984490834884</c:v>
                </c:pt>
                <c:pt idx="312">
                  <c:v>1363.3187646511931</c:v>
                </c:pt>
                <c:pt idx="313">
                  <c:v>1365.8367666401339</c:v>
                </c:pt>
                <c:pt idx="314">
                  <c:v>1368.2527090918122</c:v>
                </c:pt>
                <c:pt idx="315">
                  <c:v>1370.5668365893418</c:v>
                </c:pt>
                <c:pt idx="316">
                  <c:v>1372.7793844501955</c:v>
                </c:pt>
                <c:pt idx="317">
                  <c:v>1374.890578923591</c:v>
                </c:pt>
                <c:pt idx="318">
                  <c:v>1376.9006373936827</c:v>
                </c:pt>
                <c:pt idx="319">
                  <c:v>1378.809768589821</c:v>
                </c:pt>
                <c:pt idx="320">
                  <c:v>1380.6181728052304</c:v>
                </c:pt>
                <c:pt idx="321">
                  <c:v>1382.3260421255441</c:v>
                </c:pt>
                <c:pt idx="322">
                  <c:v>1383.9335606687193</c:v>
                </c:pt>
                <c:pt idx="323">
                  <c:v>1385.4409048379175</c:v>
                </c:pt>
                <c:pt idx="324">
                  <c:v>1386.8482435889823</c:v>
                </c:pt>
                <c:pt idx="325">
                  <c:v>1388.1557387141709</c:v>
                </c:pt>
                <c:pt idx="326">
                  <c:v>1389.3635451437672</c:v>
                </c:pt>
                <c:pt idx="327">
                  <c:v>1390.4718112671424</c:v>
                </c:pt>
                <c:pt idx="328">
                  <c:v>1391.4806792746976</c:v>
                </c:pt>
                <c:pt idx="329">
                  <c:v>1392.390285521928</c:v>
                </c:pt>
                <c:pt idx="330">
                  <c:v>1393.2007609165682</c:v>
                </c:pt>
                <c:pt idx="331">
                  <c:v>1393.9122313294231</c:v>
                </c:pt>
                <c:pt idx="332">
                  <c:v>1394.5248180290334</c:v>
                </c:pt>
                <c:pt idx="333">
                  <c:v>1395.0386381398002</c:v>
                </c:pt>
                <c:pt idx="334">
                  <c:v>1395.4538051225873</c:v>
                </c:pt>
                <c:pt idx="335">
                  <c:v>1395.7704292761664</c:v>
                </c:pt>
                <c:pt idx="336">
                  <c:v>1395.9886182571956</c:v>
                </c:pt>
                <c:pt idx="337">
                  <c:v>1396.1084776157461</c:v>
                </c:pt>
                <c:pt idx="338">
                  <c:v>1396.1301113427789</c:v>
                </c:pt>
                <c:pt idx="339">
                  <c:v>1396.0536224254402</c:v>
                </c:pt>
                <c:pt idx="340">
                  <c:v>1395.8791134056396</c:v>
                </c:pt>
                <c:pt idx="341">
                  <c:v>1395.6066869371339</c:v>
                </c:pt>
                <c:pt idx="342">
                  <c:v>1395.236446336261</c:v>
                </c:pt>
                <c:pt idx="343">
                  <c:v>1394.7684961215878</c:v>
                </c:pt>
                <c:pt idx="344">
                  <c:v>1394.2029425380147</c:v>
                </c:pt>
                <c:pt idx="345">
                  <c:v>1393.5398940613209</c:v>
                </c:pt>
                <c:pt idx="346">
                  <c:v>1392.7794618796868</c:v>
                </c:pt>
                <c:pt idx="347">
                  <c:v>1391.9217603493701</c:v>
                </c:pt>
                <c:pt idx="348">
                  <c:v>1390.9669074223887</c:v>
                </c:pt>
                <c:pt idx="349">
                  <c:v>1389.915025044744</c:v>
                </c:pt>
                <c:pt idx="350">
                  <c:v>1388.7662395243651</c:v>
                </c:pt>
                <c:pt idx="351">
                  <c:v>1387.5206818685447</c:v>
                </c:pt>
                <c:pt idx="352">
                  <c:v>1386.1784880911496</c:v>
                </c:pt>
                <c:pt idx="353">
                  <c:v>1384.739799490321</c:v>
                </c:pt>
                <c:pt idx="354">
                  <c:v>1383.204762897713</c:v>
                </c:pt>
                <c:pt idx="355">
                  <c:v>1381.5735309005772</c:v>
                </c:pt>
                <c:pt idx="356">
                  <c:v>1379.8462620381754</c:v>
                </c:pt>
                <c:pt idx="357">
                  <c:v>1378.0231209741062</c:v>
                </c:pt>
                <c:pt idx="358">
                  <c:v>1376.1042786461874</c:v>
                </c:pt>
                <c:pt idx="359">
                  <c:v>1374.0899123955319</c:v>
                </c:pt>
                <c:pt idx="360">
                  <c:v>1371.9802060764262</c:v>
                </c:pt>
                <c:pt idx="361">
                  <c:v>1369.7753501485574</c:v>
                </c:pt>
                <c:pt idx="362">
                  <c:v>1367.4755417530591</c:v>
                </c:pt>
                <c:pt idx="363">
                  <c:v>1365.0809847737514</c:v>
                </c:pt>
                <c:pt idx="364">
                  <c:v>1362.5918898848577</c:v>
                </c:pt>
                <c:pt idx="365">
                  <c:v>1360.0084745863792</c:v>
                </c:pt>
                <c:pt idx="366">
                  <c:v>1357.330963228211</c:v>
                </c:pt>
                <c:pt idx="367">
                  <c:v>1354.559587023987</c:v>
                </c:pt>
                <c:pt idx="368">
                  <c:v>1351.6945840555527</c:v>
                </c:pt>
                <c:pt idx="369">
                  <c:v>1348.7361992688786</c:v>
                </c:pt>
                <c:pt idx="370">
                  <c:v>1345.68468446215</c:v>
                </c:pt>
                <c:pt idx="371">
                  <c:v>1342.5402982666967</c:v>
                </c:pt>
                <c:pt idx="372">
                  <c:v>1339.3033061213591</c:v>
                </c:pt>
                <c:pt idx="373">
                  <c:v>1335.973980240831</c:v>
                </c:pt>
                <c:pt idx="374">
                  <c:v>1332.5525995784622</c:v>
                </c:pt>
                <c:pt idx="375">
                  <c:v>1329.0394497839613</c:v>
                </c:pt>
                <c:pt idx="376">
                  <c:v>1325.4348231563897</c:v>
                </c:pt>
                <c:pt idx="377">
                  <c:v>1321.7390185928043</c:v>
                </c:pt>
                <c:pt idx="378">
                  <c:v>1317.9523415328724</c:v>
                </c:pt>
                <c:pt idx="379">
                  <c:v>1314.0751038997478</c:v>
                </c:pt>
                <c:pt idx="380">
                  <c:v>1310.1076240374753</c:v>
                </c:pt>
                <c:pt idx="381">
                  <c:v>1306.0502266451642</c:v>
                </c:pt>
                <c:pt idx="382">
                  <c:v>1301.9032427081509</c:v>
                </c:pt>
                <c:pt idx="383">
                  <c:v>1297.6670094263507</c:v>
                </c:pt>
                <c:pt idx="384">
                  <c:v>1293.3418701399867</c:v>
                </c:pt>
                <c:pt idx="385">
                  <c:v>1288.9281742528628</c:v>
                </c:pt>
                <c:pt idx="386">
                  <c:v>1284.4262771533404</c:v>
                </c:pt>
                <c:pt idx="387">
                  <c:v>1279.8365401331619</c:v>
                </c:pt>
                <c:pt idx="388">
                  <c:v>1275.1593303042605</c:v>
                </c:pt>
                <c:pt idx="389">
                  <c:v>1270.3950205136782</c:v>
                </c:pt>
                <c:pt idx="390">
                  <c:v>1265.543989256714</c:v>
                </c:pt>
                <c:pt idx="391">
                  <c:v>1260.6066205884108</c:v>
                </c:pt>
                <c:pt idx="392">
                  <c:v>1255.5833040334887</c:v>
                </c:pt>
                <c:pt idx="393">
                  <c:v>1250.4744344948208</c:v>
                </c:pt>
                <c:pt idx="394">
                  <c:v>1245.280412160547</c:v>
                </c:pt>
                <c:pt idx="395">
                  <c:v>1240.0016424099165</c:v>
                </c:pt>
                <c:pt idx="396">
                  <c:v>1234.6385357179413</c:v>
                </c:pt>
                <c:pt idx="397">
                  <c:v>1229.1915075589454</c:v>
                </c:pt>
                <c:pt idx="398">
                  <c:v>1223.660978309086</c:v>
                </c:pt>
                <c:pt idx="399">
                  <c:v>1218.0473731479221</c:v>
                </c:pt>
                <c:pt idx="400">
                  <c:v>1212.3511219591055</c:v>
                </c:pt>
                <c:pt idx="401">
                  <c:v>1206.5726592302601</c:v>
                </c:pt>
                <c:pt idx="402">
                  <c:v>1200.7124239521208</c:v>
                </c:pt>
                <c:pt idx="403">
                  <c:v>1194.7708595169963</c:v>
                </c:pt>
                <c:pt idx="404">
                  <c:v>1188.7484136166188</c:v>
                </c:pt>
                <c:pt idx="405">
                  <c:v>1182.6455381394435</c:v>
                </c:pt>
                <c:pt idx="406">
                  <c:v>1176.4626890674579</c:v>
                </c:pt>
                <c:pt idx="407">
                  <c:v>1170.2003263725594</c:v>
                </c:pt>
                <c:pt idx="408">
                  <c:v>1163.8589139125584</c:v>
                </c:pt>
                <c:pt idx="409">
                  <c:v>1157.4389193268619</c:v>
                </c:pt>
                <c:pt idx="410">
                  <c:v>1150.9408139318939</c:v>
                </c:pt>
                <c:pt idx="411">
                  <c:v>1144.3650726163041</c:v>
                </c:pt>
                <c:pt idx="412">
                  <c:v>1137.7121737360169</c:v>
                </c:pt>
                <c:pt idx="413">
                  <c:v>1130.9825990091726</c:v>
                </c:pt>
                <c:pt idx="414">
                  <c:v>1124.17683341101</c:v>
                </c:pt>
                <c:pt idx="415">
                  <c:v>1117.2953650687382</c:v>
                </c:pt>
                <c:pt idx="416">
                  <c:v>1110.3386851564458</c:v>
                </c:pt>
                <c:pt idx="417">
                  <c:v>1103.3072877900947</c:v>
                </c:pt>
                <c:pt idx="418">
                  <c:v>1096.2016699226424</c:v>
                </c:pt>
                <c:pt idx="419">
                  <c:v>1089.022331239338</c:v>
                </c:pt>
                <c:pt idx="420">
                  <c:v>1081.7697740532362</c:v>
                </c:pt>
                <c:pt idx="421">
                  <c:v>1074.4445032009703</c:v>
                </c:pt>
                <c:pt idx="422">
                  <c:v>1067.0470259388267</c:v>
                </c:pt>
                <c:pt idx="423">
                  <c:v>1059.5778518391612</c:v>
                </c:pt>
                <c:pt idx="424">
                  <c:v>1052.0374926871973</c:v>
                </c:pt>
                <c:pt idx="425">
                  <c:v>1044.4264623782433</c:v>
                </c:pt>
                <c:pt idx="426">
                  <c:v>1036.7452768153694</c:v>
                </c:pt>
                <c:pt idx="427">
                  <c:v>1028.9944538075777</c:v>
                </c:pt>
                <c:pt idx="428">
                  <c:v>1021.1745129685039</c:v>
                </c:pt>
                <c:pt idx="429">
                  <c:v>1013.2859756156847</c:v>
                </c:pt>
                <c:pt idx="430">
                  <c:v>1005.3293646704241</c:v>
                </c:pt>
                <c:pt idx="431">
                  <c:v>997.30520455829333</c:v>
                </c:pt>
                <c:pt idx="432">
                  <c:v>989.21402111029545</c:v>
                </c:pt>
                <c:pt idx="433">
                  <c:v>981.05634146472607</c:v>
                </c:pt>
                <c:pt idx="434">
                  <c:v>972.83269396976141</c:v>
                </c:pt>
                <c:pt idx="435">
                  <c:v>964.54360808680133</c:v>
                </c:pt>
                <c:pt idx="436">
                  <c:v>956.18961429459819</c:v>
                </c:pt>
                <c:pt idx="437">
                  <c:v>947.77124399419688</c:v>
                </c:pt>
                <c:pt idx="438">
                  <c:v>939.28902941471461</c:v>
                </c:pt>
                <c:pt idx="439">
                  <c:v>930.74350351998487</c:v>
                </c:pt>
                <c:pt idx="440">
                  <c:v>922.13519991609132</c:v>
                </c:pt>
                <c:pt idx="441">
                  <c:v>913.46465275981507</c:v>
                </c:pt>
                <c:pt idx="442">
                  <c:v>904.73239666801874</c:v>
                </c:pt>
                <c:pt idx="443">
                  <c:v>895.9389666279892</c:v>
                </c:pt>
                <c:pt idx="444">
                  <c:v>887.08489790876069</c:v>
                </c:pt>
                <c:pt idx="445">
                  <c:v>878.17072597343838</c:v>
                </c:pt>
                <c:pt idx="446">
                  <c:v>869.19698639254204</c:v>
                </c:pt>
                <c:pt idx="447">
                  <c:v>860.16421475838831</c:v>
                </c:pt>
                <c:pt idx="448">
                  <c:v>851.07294660052935</c:v>
                </c:pt>
                <c:pt idx="449">
                  <c:v>841.92371730226546</c:v>
                </c:pt>
                <c:pt idx="450">
                  <c:v>832.71706201824645</c:v>
                </c:pt>
                <c:pt idx="451">
                  <c:v>823.45351559317805</c:v>
                </c:pt>
                <c:pt idx="452">
                  <c:v>814.13361248164733</c:v>
                </c:pt>
                <c:pt idx="453">
                  <c:v>804.75788666908045</c:v>
                </c:pt>
                <c:pt idx="454">
                  <c:v>795.32687159384579</c:v>
                </c:pt>
                <c:pt idx="455">
                  <c:v>785.84110007051424</c:v>
                </c:pt>
                <c:pt idx="456">
                  <c:v>776.30110421428731</c:v>
                </c:pt>
                <c:pt idx="457">
                  <c:v>766.7074153666041</c:v>
                </c:pt>
                <c:pt idx="458">
                  <c:v>757.06056402193587</c:v>
                </c:pt>
                <c:pt idx="459">
                  <c:v>747.3610797557775</c:v>
                </c:pt>
                <c:pt idx="460">
                  <c:v>737.60949115384312</c:v>
                </c:pt>
                <c:pt idx="461">
                  <c:v>727.80632574247397</c:v>
                </c:pt>
                <c:pt idx="462">
                  <c:v>717.95210992026364</c:v>
                </c:pt>
                <c:pt idx="463">
                  <c:v>708.04736889090816</c:v>
                </c:pt>
                <c:pt idx="464">
                  <c:v>698.09262659728381</c:v>
                </c:pt>
                <c:pt idx="465">
                  <c:v>688.08840565675894</c:v>
                </c:pt>
                <c:pt idx="466">
                  <c:v>678.0352272977417</c:v>
                </c:pt>
                <c:pt idx="467">
                  <c:v>667.93361129746768</c:v>
                </c:pt>
                <c:pt idx="468">
                  <c:v>657.78407592102917</c:v>
                </c:pt>
                <c:pt idx="469">
                  <c:v>647.58713786164776</c:v>
                </c:pt>
                <c:pt idx="470">
                  <c:v>637.34331218219063</c:v>
                </c:pt>
                <c:pt idx="471">
                  <c:v>627.05311225793196</c:v>
                </c:pt>
                <c:pt idx="472">
                  <c:v>616.71704972055795</c:v>
                </c:pt>
                <c:pt idx="473">
                  <c:v>606.33563440341516</c:v>
                </c:pt>
                <c:pt idx="474">
                  <c:v>595.90937428800009</c:v>
                </c:pt>
                <c:pt idx="475">
                  <c:v>585.4387754516888</c:v>
                </c:pt>
                <c:pt idx="476">
                  <c:v>574.92434201670255</c:v>
                </c:pt>
                <c:pt idx="477">
                  <c:v>564.36657610030773</c:v>
                </c:pt>
                <c:pt idx="478">
                  <c:v>553.76597776624487</c:v>
                </c:pt>
                <c:pt idx="479">
                  <c:v>543.12304497738376</c:v>
                </c:pt>
                <c:pt idx="480">
                  <c:v>532.43827354959842</c:v>
                </c:pt>
                <c:pt idx="481">
                  <c:v>521.71215710685851</c:v>
                </c:pt>
                <c:pt idx="482">
                  <c:v>510.94518703752948</c:v>
                </c:pt>
                <c:pt idx="483">
                  <c:v>500.13785245187671</c:v>
                </c:pt>
                <c:pt idx="484">
                  <c:v>489.29064014076596</c:v>
                </c:pt>
                <c:pt idx="485">
                  <c:v>478.40403453555393</c:v>
                </c:pt>
                <c:pt idx="486">
                  <c:v>467.47851766916062</c:v>
                </c:pt>
                <c:pt idx="487">
                  <c:v>456.51456913831601</c:v>
                </c:pt>
                <c:pt idx="488">
                  <c:v>445.51266606697266</c:v>
                </c:pt>
                <c:pt idx="489">
                  <c:v>434.47328307087542</c:v>
                </c:pt>
                <c:pt idx="490">
                  <c:v>423.39689222327951</c:v>
                </c:pt>
                <c:pt idx="491">
                  <c:v>412.28396302180721</c:v>
                </c:pt>
                <c:pt idx="492">
                  <c:v>401.13496235643362</c:v>
                </c:pt>
                <c:pt idx="493">
                  <c:v>389.95035447859135</c:v>
                </c:pt>
                <c:pt idx="494">
                  <c:v>378.73060097138415</c:v>
                </c:pt>
                <c:pt idx="495">
                  <c:v>367.47616072089801</c:v>
                </c:pt>
                <c:pt idx="496">
                  <c:v>356.18748988859988</c:v>
                </c:pt>
                <c:pt idx="497">
                  <c:v>344.86504188481189</c:v>
                </c:pt>
                <c:pt idx="498">
                  <c:v>333.50926734325026</c:v>
                </c:pt>
                <c:pt idx="499">
                  <c:v>322.12061409661669</c:v>
                </c:pt>
                <c:pt idx="500">
                  <c:v>310.69952715323097</c:v>
                </c:pt>
                <c:pt idx="501">
                  <c:v>299.24644867469198</c:v>
                </c:pt>
                <c:pt idx="502">
                  <c:v>287.76181795455523</c:v>
                </c:pt>
                <c:pt idx="503">
                  <c:v>276.24607139801435</c:v>
                </c:pt>
                <c:pt idx="504">
                  <c:v>264.69964250257374</c:v>
                </c:pt>
                <c:pt idx="505">
                  <c:v>253.12296183969957</c:v>
                </c:pt>
                <c:pt idx="506">
                  <c:v>241.51645703743606</c:v>
                </c:pt>
                <c:pt idx="507">
                  <c:v>229.88055276397409</c:v>
                </c:pt>
                <c:pt idx="508">
                  <c:v>218.21567071215858</c:v>
                </c:pt>
                <c:pt idx="509">
                  <c:v>206.52222958492152</c:v>
                </c:pt>
                <c:pt idx="510">
                  <c:v>194.80064508162684</c:v>
                </c:pt>
                <c:pt idx="511">
                  <c:v>183.05132988531386</c:v>
                </c:pt>
                <c:pt idx="512">
                  <c:v>171.27469365082527</c:v>
                </c:pt>
                <c:pt idx="513">
                  <c:v>159.47114299380607</c:v>
                </c:pt>
                <c:pt idx="514">
                  <c:v>147.64108148055965</c:v>
                </c:pt>
                <c:pt idx="515">
                  <c:v>135.78490961874695</c:v>
                </c:pt>
                <c:pt idx="516">
                  <c:v>123.90302484891491</c:v>
                </c:pt>
                <c:pt idx="517">
                  <c:v>111.99582153684011</c:v>
                </c:pt>
                <c:pt idx="518">
                  <c:v>100.06369096667359</c:v>
                </c:pt>
                <c:pt idx="519">
                  <c:v>88.107021334872911</c:v>
                </c:pt>
                <c:pt idx="520">
                  <c:v>76.126197744907174</c:v>
                </c:pt>
                <c:pt idx="521">
                  <c:v>64.12160220272122</c:v>
                </c:pt>
                <c:pt idx="522">
                  <c:v>52.093613612944687</c:v>
                </c:pt>
                <c:pt idx="523">
                  <c:v>40.042607775832025</c:v>
                </c:pt>
                <c:pt idx="524">
                  <c:v>27.968957384919399</c:v>
                </c:pt>
                <c:pt idx="525">
                  <c:v>15.873032025384418</c:v>
                </c:pt>
                <c:pt idx="526">
                  <c:v>3.7551981730947972</c:v>
                </c:pt>
                <c:pt idx="527">
                  <c:v>-8.3841808056680662</c:v>
                </c:pt>
                <c:pt idx="528">
                  <c:v>-8.396330877259949</c:v>
                </c:pt>
                <c:pt idx="529">
                  <c:v>-8.4084809698571732</c:v>
                </c:pt>
                <c:pt idx="530">
                  <c:v>-8.4206310834593818</c:v>
                </c:pt>
                <c:pt idx="531">
                  <c:v>-8.4327812180662214</c:v>
                </c:pt>
                <c:pt idx="532">
                  <c:v>-8.4449313736773366</c:v>
                </c:pt>
                <c:pt idx="533">
                  <c:v>-8.457081550292374</c:v>
                </c:pt>
                <c:pt idx="534">
                  <c:v>-8.4692317479109764</c:v>
                </c:pt>
                <c:pt idx="535">
                  <c:v>-8.4813819665327905</c:v>
                </c:pt>
                <c:pt idx="536">
                  <c:v>-8.493532206157461</c:v>
                </c:pt>
                <c:pt idx="537">
                  <c:v>-8.5056824667846342</c:v>
                </c:pt>
                <c:pt idx="538">
                  <c:v>-8.5178327484139533</c:v>
                </c:pt>
                <c:pt idx="539">
                  <c:v>-8.5299830510450647</c:v>
                </c:pt>
                <c:pt idx="540">
                  <c:v>-8.5421333746776131</c:v>
                </c:pt>
                <c:pt idx="541">
                  <c:v>-8.5542837193112433</c:v>
                </c:pt>
                <c:pt idx="542">
                  <c:v>-8.5664340849456</c:v>
                </c:pt>
                <c:pt idx="543">
                  <c:v>-8.5785844715803297</c:v>
                </c:pt>
                <c:pt idx="544">
                  <c:v>-8.5907348792150771</c:v>
                </c:pt>
                <c:pt idx="545">
                  <c:v>-8.6028853078494869</c:v>
                </c:pt>
                <c:pt idx="546">
                  <c:v>-8.6150357574832039</c:v>
                </c:pt>
                <c:pt idx="547">
                  <c:v>-8.6271862281158747</c:v>
                </c:pt>
                <c:pt idx="548">
                  <c:v>-8.6393367197471438</c:v>
                </c:pt>
                <c:pt idx="549">
                  <c:v>-8.6514872323766561</c:v>
                </c:pt>
                <c:pt idx="550">
                  <c:v>-8.6636377660040562</c:v>
                </c:pt>
                <c:pt idx="551">
                  <c:v>-8.6757883206289907</c:v>
                </c:pt>
                <c:pt idx="552">
                  <c:v>-8.6879388962511026</c:v>
                </c:pt>
                <c:pt idx="553">
                  <c:v>-8.7000894928700401</c:v>
                </c:pt>
                <c:pt idx="554">
                  <c:v>-8.7122401104854461</c:v>
                </c:pt>
                <c:pt idx="555">
                  <c:v>-8.7243907490969654</c:v>
                </c:pt>
                <c:pt idx="556">
                  <c:v>-8.7365414087042446</c:v>
                </c:pt>
                <c:pt idx="557">
                  <c:v>-8.7486920893069282</c:v>
                </c:pt>
                <c:pt idx="558">
                  <c:v>-8.7608427909046629</c:v>
                </c:pt>
                <c:pt idx="559">
                  <c:v>-8.7729935134970916</c:v>
                </c:pt>
                <c:pt idx="560">
                  <c:v>-8.7851442570838607</c:v>
                </c:pt>
                <c:pt idx="561">
                  <c:v>-8.7972950216646151</c:v>
                </c:pt>
                <c:pt idx="562">
                  <c:v>-8.8094458072390012</c:v>
                </c:pt>
                <c:pt idx="563">
                  <c:v>-8.8215966138066637</c:v>
                </c:pt>
                <c:pt idx="564">
                  <c:v>-8.8337474413672457</c:v>
                </c:pt>
                <c:pt idx="565">
                  <c:v>-8.8458982899203953</c:v>
                </c:pt>
                <c:pt idx="566">
                  <c:v>-8.8580491594657556</c:v>
                </c:pt>
                <c:pt idx="567">
                  <c:v>-8.870200050002973</c:v>
                </c:pt>
                <c:pt idx="568">
                  <c:v>-8.8823509615316922</c:v>
                </c:pt>
                <c:pt idx="569">
                  <c:v>-8.8945018940515581</c:v>
                </c:pt>
                <c:pt idx="570">
                  <c:v>-8.9066528475622171</c:v>
                </c:pt>
                <c:pt idx="571">
                  <c:v>-8.9188038220633139</c:v>
                </c:pt>
                <c:pt idx="572">
                  <c:v>-8.9309548175544933</c:v>
                </c:pt>
                <c:pt idx="573">
                  <c:v>-8.9431058340354017</c:v>
                </c:pt>
                <c:pt idx="574">
                  <c:v>-8.9552568715056822</c:v>
                </c:pt>
                <c:pt idx="575">
                  <c:v>-8.9674079299649812</c:v>
                </c:pt>
                <c:pt idx="576">
                  <c:v>-8.9795590094129452</c:v>
                </c:pt>
                <c:pt idx="577">
                  <c:v>-8.9917101098492171</c:v>
                </c:pt>
                <c:pt idx="578">
                  <c:v>-9.0038612312734436</c:v>
                </c:pt>
                <c:pt idx="579">
                  <c:v>-9.0160123736852693</c:v>
                </c:pt>
                <c:pt idx="580">
                  <c:v>-9.0281635370843407</c:v>
                </c:pt>
                <c:pt idx="581">
                  <c:v>-9.0403147214703026</c:v>
                </c:pt>
                <c:pt idx="582">
                  <c:v>-9.0524659268427996</c:v>
                </c:pt>
                <c:pt idx="583">
                  <c:v>-9.0646171532014765</c:v>
                </c:pt>
                <c:pt idx="584">
                  <c:v>-9.0767684005459799</c:v>
                </c:pt>
                <c:pt idx="585">
                  <c:v>-9.0889196688759544</c:v>
                </c:pt>
                <c:pt idx="586">
                  <c:v>-9.1010709581910447</c:v>
                </c:pt>
                <c:pt idx="587">
                  <c:v>-9.1132222684908974</c:v>
                </c:pt>
                <c:pt idx="588">
                  <c:v>-9.1253735997751573</c:v>
                </c:pt>
                <c:pt idx="589">
                  <c:v>-9.1375249520434689</c:v>
                </c:pt>
                <c:pt idx="590">
                  <c:v>-9.1496763252954789</c:v>
                </c:pt>
                <c:pt idx="591">
                  <c:v>-9.161827719530832</c:v>
                </c:pt>
                <c:pt idx="592">
                  <c:v>-9.1739791347491728</c:v>
                </c:pt>
                <c:pt idx="593">
                  <c:v>-9.186130570950148</c:v>
                </c:pt>
                <c:pt idx="594">
                  <c:v>-9.1982820281334003</c:v>
                </c:pt>
                <c:pt idx="595">
                  <c:v>-9.2104335062985783</c:v>
                </c:pt>
                <c:pt idx="596">
                  <c:v>-9.2225850054453247</c:v>
                </c:pt>
                <c:pt idx="597">
                  <c:v>-9.2347365255732861</c:v>
                </c:pt>
                <c:pt idx="598">
                  <c:v>-9.2468880666821072</c:v>
                </c:pt>
                <c:pt idx="599">
                  <c:v>-9.2590396287714345</c:v>
                </c:pt>
                <c:pt idx="600">
                  <c:v>-9.2711912118409128</c:v>
                </c:pt>
                <c:pt idx="601">
                  <c:v>-9.2833428158901867</c:v>
                </c:pt>
                <c:pt idx="602">
                  <c:v>-9.2954944409189011</c:v>
                </c:pt>
                <c:pt idx="603">
                  <c:v>-9.3076460869267024</c:v>
                </c:pt>
                <c:pt idx="604">
                  <c:v>-9.3197977539132353</c:v>
                </c:pt>
                <c:pt idx="605">
                  <c:v>-9.3319494418781463</c:v>
                </c:pt>
                <c:pt idx="606">
                  <c:v>-9.3441011508210803</c:v>
                </c:pt>
                <c:pt idx="607">
                  <c:v>-9.3562528807416818</c:v>
                </c:pt>
                <c:pt idx="608">
                  <c:v>-9.3684046316395975</c:v>
                </c:pt>
                <c:pt idx="609">
                  <c:v>-9.3805564035144702</c:v>
                </c:pt>
                <c:pt idx="610">
                  <c:v>-9.3927081963659482</c:v>
                </c:pt>
                <c:pt idx="611">
                  <c:v>-9.4048600101936746</c:v>
                </c:pt>
                <c:pt idx="612">
                  <c:v>-9.4170118449972957</c:v>
                </c:pt>
                <c:pt idx="613">
                  <c:v>-9.4291637007764582</c:v>
                </c:pt>
                <c:pt idx="614">
                  <c:v>-9.4413155775308049</c:v>
                </c:pt>
                <c:pt idx="615">
                  <c:v>-9.4534674752599823</c:v>
                </c:pt>
                <c:pt idx="616">
                  <c:v>-9.4656193939636371</c:v>
                </c:pt>
                <c:pt idx="617">
                  <c:v>-9.477771333641412</c:v>
                </c:pt>
                <c:pt idx="618">
                  <c:v>-9.4899232942929554</c:v>
                </c:pt>
                <c:pt idx="619">
                  <c:v>-9.5020752759179103</c:v>
                </c:pt>
                <c:pt idx="620">
                  <c:v>-9.5142272785159232</c:v>
                </c:pt>
                <c:pt idx="621">
                  <c:v>-9.5263793020866387</c:v>
                </c:pt>
                <c:pt idx="622">
                  <c:v>-9.5385313466297035</c:v>
                </c:pt>
                <c:pt idx="623">
                  <c:v>-9.5506834121447621</c:v>
                </c:pt>
                <c:pt idx="624">
                  <c:v>-9.5628354986314594</c:v>
                </c:pt>
                <c:pt idx="625">
                  <c:v>-9.5749876060894419</c:v>
                </c:pt>
                <c:pt idx="626">
                  <c:v>-9.5871397345183542</c:v>
                </c:pt>
                <c:pt idx="627">
                  <c:v>-9.5992918839178412</c:v>
                </c:pt>
                <c:pt idx="628">
                  <c:v>-9.6114440542875492</c:v>
                </c:pt>
                <c:pt idx="629">
                  <c:v>-9.6235962456271249</c:v>
                </c:pt>
                <c:pt idx="630">
                  <c:v>-9.6357484579362112</c:v>
                </c:pt>
                <c:pt idx="631">
                  <c:v>-9.6479006912144545</c:v>
                </c:pt>
                <c:pt idx="632">
                  <c:v>-9.6600529454615014</c:v>
                </c:pt>
                <c:pt idx="633">
                  <c:v>-9.6722052206769948</c:v>
                </c:pt>
                <c:pt idx="634">
                  <c:v>-9.6843575168605831</c:v>
                </c:pt>
                <c:pt idx="635">
                  <c:v>-9.6965098340119091</c:v>
                </c:pt>
                <c:pt idx="636">
                  <c:v>-9.7086621721306194</c:v>
                </c:pt>
                <c:pt idx="637">
                  <c:v>-9.7208145312163587</c:v>
                </c:pt>
                <c:pt idx="638">
                  <c:v>-9.7329669112687736</c:v>
                </c:pt>
                <c:pt idx="639">
                  <c:v>-9.7451193122875086</c:v>
                </c:pt>
                <c:pt idx="640">
                  <c:v>-9.7572717342722104</c:v>
                </c:pt>
                <c:pt idx="641">
                  <c:v>-9.7694241772225237</c:v>
                </c:pt>
                <c:pt idx="642">
                  <c:v>-9.7815766411380931</c:v>
                </c:pt>
                <c:pt idx="643">
                  <c:v>-9.7937291260185653</c:v>
                </c:pt>
                <c:pt idx="644">
                  <c:v>-9.8058816318635849</c:v>
                </c:pt>
                <c:pt idx="645">
                  <c:v>-9.8180341586727984</c:v>
                </c:pt>
                <c:pt idx="646">
                  <c:v>-9.8301867064458506</c:v>
                </c:pt>
                <c:pt idx="647">
                  <c:v>-9.8423392751823862</c:v>
                </c:pt>
                <c:pt idx="648">
                  <c:v>-9.8544918648820516</c:v>
                </c:pt>
                <c:pt idx="649">
                  <c:v>-9.8666444755444918</c:v>
                </c:pt>
                <c:pt idx="650">
                  <c:v>-9.878797107169353</c:v>
                </c:pt>
                <c:pt idx="651">
                  <c:v>-9.8909497597562801</c:v>
                </c:pt>
                <c:pt idx="652">
                  <c:v>-9.9031024333049196</c:v>
                </c:pt>
                <c:pt idx="653">
                  <c:v>-9.9152551278149161</c:v>
                </c:pt>
                <c:pt idx="654">
                  <c:v>-9.9274078432859145</c:v>
                </c:pt>
                <c:pt idx="655">
                  <c:v>-9.9395605797175612</c:v>
                </c:pt>
                <c:pt idx="656">
                  <c:v>-9.951713337109501</c:v>
                </c:pt>
                <c:pt idx="657">
                  <c:v>-9.9638661154613803</c:v>
                </c:pt>
                <c:pt idx="658">
                  <c:v>-9.976018914772844</c:v>
                </c:pt>
                <c:pt idx="659">
                  <c:v>-9.9881717350435366</c:v>
                </c:pt>
                <c:pt idx="660">
                  <c:v>-10.000324576273105</c:v>
                </c:pt>
                <c:pt idx="661">
                  <c:v>-10.012477438461195</c:v>
                </c:pt>
                <c:pt idx="662">
                  <c:v>-10.024630321607452</c:v>
                </c:pt>
                <c:pt idx="663">
                  <c:v>-10.03678322571152</c:v>
                </c:pt>
                <c:pt idx="664">
                  <c:v>-10.048936150773047</c:v>
                </c:pt>
                <c:pt idx="665">
                  <c:v>-10.061089096791676</c:v>
                </c:pt>
                <c:pt idx="666">
                  <c:v>-10.073242063767054</c:v>
                </c:pt>
                <c:pt idx="667">
                  <c:v>-10.085395051698827</c:v>
                </c:pt>
                <c:pt idx="668">
                  <c:v>-10.097548060586638</c:v>
                </c:pt>
                <c:pt idx="669">
                  <c:v>-10.109701090430134</c:v>
                </c:pt>
                <c:pt idx="670">
                  <c:v>-10.121854141228962</c:v>
                </c:pt>
                <c:pt idx="671">
                  <c:v>-10.134007212982764</c:v>
                </c:pt>
                <c:pt idx="672">
                  <c:v>-10.14616030569119</c:v>
                </c:pt>
                <c:pt idx="673">
                  <c:v>-10.158313419353883</c:v>
                </c:pt>
                <c:pt idx="674">
                  <c:v>-10.170466553970488</c:v>
                </c:pt>
                <c:pt idx="675">
                  <c:v>-10.182619709540653</c:v>
                </c:pt>
                <c:pt idx="676">
                  <c:v>-10.194772886064021</c:v>
                </c:pt>
                <c:pt idx="677">
                  <c:v>-10.206926083540237</c:v>
                </c:pt>
                <c:pt idx="678">
                  <c:v>-10.21907930196895</c:v>
                </c:pt>
                <c:pt idx="679">
                  <c:v>-10.231232541349803</c:v>
                </c:pt>
                <c:pt idx="680">
                  <c:v>-10.243385801682441</c:v>
                </c:pt>
                <c:pt idx="681">
                  <c:v>-10.255539082966513</c:v>
                </c:pt>
                <c:pt idx="682">
                  <c:v>-10.267692385201661</c:v>
                </c:pt>
                <c:pt idx="683">
                  <c:v>-10.279845708387532</c:v>
                </c:pt>
                <c:pt idx="684">
                  <c:v>-10.291999052523771</c:v>
                </c:pt>
                <c:pt idx="685">
                  <c:v>-10.304152417610025</c:v>
                </c:pt>
                <c:pt idx="686">
                  <c:v>-10.316305803645939</c:v>
                </c:pt>
                <c:pt idx="687">
                  <c:v>-10.328459210631157</c:v>
                </c:pt>
                <c:pt idx="688">
                  <c:v>-10.340612638565327</c:v>
                </c:pt>
                <c:pt idx="689">
                  <c:v>-10.352766087448092</c:v>
                </c:pt>
                <c:pt idx="690">
                  <c:v>-10.3649195572791</c:v>
                </c:pt>
                <c:pt idx="691">
                  <c:v>-10.377073048057996</c:v>
                </c:pt>
                <c:pt idx="692">
                  <c:v>-10.389226559784424</c:v>
                </c:pt>
                <c:pt idx="693">
                  <c:v>-10.401380092458032</c:v>
                </c:pt>
                <c:pt idx="694">
                  <c:v>-10.413533646078465</c:v>
                </c:pt>
                <c:pt idx="695">
                  <c:v>-10.425687220645367</c:v>
                </c:pt>
                <c:pt idx="696">
                  <c:v>-10.437840816158385</c:v>
                </c:pt>
                <c:pt idx="697">
                  <c:v>-10.449994432617164</c:v>
                </c:pt>
                <c:pt idx="698">
                  <c:v>-10.46214807002135</c:v>
                </c:pt>
                <c:pt idx="699">
                  <c:v>-10.474301728370587</c:v>
                </c:pt>
                <c:pt idx="700">
                  <c:v>-10.486455407664524</c:v>
                </c:pt>
                <c:pt idx="701">
                  <c:v>-10.498609107902803</c:v>
                </c:pt>
                <c:pt idx="702">
                  <c:v>-10.510762829085072</c:v>
                </c:pt>
                <c:pt idx="703">
                  <c:v>-10.522916571210978</c:v>
                </c:pt>
                <c:pt idx="704">
                  <c:v>-10.535070334280164</c:v>
                </c:pt>
                <c:pt idx="705">
                  <c:v>-10.547224118292275</c:v>
                </c:pt>
                <c:pt idx="706">
                  <c:v>-10.559377923246959</c:v>
                </c:pt>
                <c:pt idx="707">
                  <c:v>-10.57153174914386</c:v>
                </c:pt>
                <c:pt idx="708">
                  <c:v>-10.583685595982624</c:v>
                </c:pt>
                <c:pt idx="709">
                  <c:v>-10.595839463762898</c:v>
                </c:pt>
                <c:pt idx="710">
                  <c:v>-10.607993352484327</c:v>
                </c:pt>
                <c:pt idx="711">
                  <c:v>-10.620147262146554</c:v>
                </c:pt>
                <c:pt idx="712">
                  <c:v>-10.632301192749228</c:v>
                </c:pt>
                <c:pt idx="713">
                  <c:v>-10.644455144291994</c:v>
                </c:pt>
                <c:pt idx="714">
                  <c:v>-10.656609116774497</c:v>
                </c:pt>
                <c:pt idx="715">
                  <c:v>-10.668763110196384</c:v>
                </c:pt>
                <c:pt idx="716">
                  <c:v>-10.680917124557299</c:v>
                </c:pt>
                <c:pt idx="717">
                  <c:v>-10.693071159856888</c:v>
                </c:pt>
                <c:pt idx="718">
                  <c:v>-10.705225216094798</c:v>
                </c:pt>
                <c:pt idx="719">
                  <c:v>-10.717379293270673</c:v>
                </c:pt>
                <c:pt idx="720">
                  <c:v>-10.729533391384159</c:v>
                </c:pt>
                <c:pt idx="721">
                  <c:v>-10.741687510434902</c:v>
                </c:pt>
                <c:pt idx="722">
                  <c:v>-10.753841650422547</c:v>
                </c:pt>
                <c:pt idx="723">
                  <c:v>-10.765995811346741</c:v>
                </c:pt>
                <c:pt idx="724">
                  <c:v>-10.77814999320713</c:v>
                </c:pt>
                <c:pt idx="725">
                  <c:v>-10.790304196003358</c:v>
                </c:pt>
                <c:pt idx="726">
                  <c:v>-10.802458419735071</c:v>
                </c:pt>
                <c:pt idx="727">
                  <c:v>-10.814612664401917</c:v>
                </c:pt>
                <c:pt idx="728">
                  <c:v>-10.826766930003538</c:v>
                </c:pt>
                <c:pt idx="729">
                  <c:v>-10.838921216539584</c:v>
                </c:pt>
                <c:pt idx="730">
                  <c:v>-10.851075524009696</c:v>
                </c:pt>
                <c:pt idx="731">
                  <c:v>-10.863229852413523</c:v>
                </c:pt>
                <c:pt idx="732">
                  <c:v>-10.875384201750711</c:v>
                </c:pt>
                <c:pt idx="733">
                  <c:v>-10.887538572020903</c:v>
                </c:pt>
                <c:pt idx="734">
                  <c:v>-10.899692963223746</c:v>
                </c:pt>
                <c:pt idx="735">
                  <c:v>-10.911847375358887</c:v>
                </c:pt>
                <c:pt idx="736">
                  <c:v>-10.92400180842597</c:v>
                </c:pt>
                <c:pt idx="737">
                  <c:v>-10.936156262424642</c:v>
                </c:pt>
                <c:pt idx="738">
                  <c:v>-10.948310737354548</c:v>
                </c:pt>
                <c:pt idx="739">
                  <c:v>-10.960465233215334</c:v>
                </c:pt>
                <c:pt idx="740">
                  <c:v>-10.972619750006647</c:v>
                </c:pt>
                <c:pt idx="741">
                  <c:v>-10.984774287728131</c:v>
                </c:pt>
                <c:pt idx="742">
                  <c:v>-10.996928846379433</c:v>
                </c:pt>
                <c:pt idx="743">
                  <c:v>-11.009083425960197</c:v>
                </c:pt>
                <c:pt idx="744">
                  <c:v>-11.021238026470071</c:v>
                </c:pt>
                <c:pt idx="745">
                  <c:v>-11.033392647908698</c:v>
                </c:pt>
                <c:pt idx="746">
                  <c:v>-11.045547290275726</c:v>
                </c:pt>
                <c:pt idx="747">
                  <c:v>-11.057701953570801</c:v>
                </c:pt>
                <c:pt idx="748">
                  <c:v>-11.069856637793567</c:v>
                </c:pt>
                <c:pt idx="749">
                  <c:v>-11.08201134294367</c:v>
                </c:pt>
                <c:pt idx="750">
                  <c:v>-11.094166069020757</c:v>
                </c:pt>
                <c:pt idx="751">
                  <c:v>-11.106320816024473</c:v>
                </c:pt>
                <c:pt idx="752">
                  <c:v>-11.118475583954464</c:v>
                </c:pt>
                <c:pt idx="753">
                  <c:v>-11.130630372810375</c:v>
                </c:pt>
                <c:pt idx="754">
                  <c:v>-11.142785182591853</c:v>
                </c:pt>
                <c:pt idx="755">
                  <c:v>-11.154940013298543</c:v>
                </c:pt>
                <c:pt idx="756">
                  <c:v>-11.167094864930091</c:v>
                </c:pt>
                <c:pt idx="757">
                  <c:v>-11.179249737486144</c:v>
                </c:pt>
                <c:pt idx="758">
                  <c:v>-11.191404630966346</c:v>
                </c:pt>
                <c:pt idx="759">
                  <c:v>-11.203559545370345</c:v>
                </c:pt>
                <c:pt idx="760">
                  <c:v>-11.215714480697784</c:v>
                </c:pt>
                <c:pt idx="761">
                  <c:v>-11.227869436948311</c:v>
                </c:pt>
                <c:pt idx="762">
                  <c:v>-11.240024414121571</c:v>
                </c:pt>
                <c:pt idx="763">
                  <c:v>-11.25217941221721</c:v>
                </c:pt>
                <c:pt idx="764">
                  <c:v>-11.264334431234873</c:v>
                </c:pt>
                <c:pt idx="765">
                  <c:v>-11.276489471174207</c:v>
                </c:pt>
                <c:pt idx="766">
                  <c:v>-11.288644532034857</c:v>
                </c:pt>
                <c:pt idx="767">
                  <c:v>-11.300799613816469</c:v>
                </c:pt>
                <c:pt idx="768">
                  <c:v>-11.312954716518689</c:v>
                </c:pt>
                <c:pt idx="769">
                  <c:v>-11.325109840141163</c:v>
                </c:pt>
                <c:pt idx="770">
                  <c:v>-11.337264984683538</c:v>
                </c:pt>
                <c:pt idx="771">
                  <c:v>-11.349420150145457</c:v>
                </c:pt>
                <c:pt idx="772">
                  <c:v>-11.361575336526569</c:v>
                </c:pt>
                <c:pt idx="773">
                  <c:v>-11.373730543826516</c:v>
                </c:pt>
                <c:pt idx="774">
                  <c:v>-11.385885772044947</c:v>
                </c:pt>
                <c:pt idx="775">
                  <c:v>-11.398041021181507</c:v>
                </c:pt>
                <c:pt idx="776">
                  <c:v>-11.410196291235842</c:v>
                </c:pt>
                <c:pt idx="777">
                  <c:v>-11.422351582207597</c:v>
                </c:pt>
                <c:pt idx="778">
                  <c:v>-11.434506894096419</c:v>
                </c:pt>
                <c:pt idx="779">
                  <c:v>-11.446662226901953</c:v>
                </c:pt>
                <c:pt idx="780">
                  <c:v>-11.458817580623846</c:v>
                </c:pt>
                <c:pt idx="781">
                  <c:v>-11.470972955261743</c:v>
                </c:pt>
                <c:pt idx="782">
                  <c:v>-11.48312835081529</c:v>
                </c:pt>
                <c:pt idx="783">
                  <c:v>-11.495283767284134</c:v>
                </c:pt>
                <c:pt idx="784">
                  <c:v>-11.507439204667918</c:v>
                </c:pt>
                <c:pt idx="785">
                  <c:v>-11.51959466296629</c:v>
                </c:pt>
                <c:pt idx="786">
                  <c:v>-11.531750142178895</c:v>
                </c:pt>
                <c:pt idx="787">
                  <c:v>-11.543905642305381</c:v>
                </c:pt>
                <c:pt idx="788">
                  <c:v>-11.556061163345392</c:v>
                </c:pt>
                <c:pt idx="789">
                  <c:v>-11.568216705298575</c:v>
                </c:pt>
                <c:pt idx="790">
                  <c:v>-11.580372268164574</c:v>
                </c:pt>
                <c:pt idx="791">
                  <c:v>-11.592527851943036</c:v>
                </c:pt>
                <c:pt idx="792">
                  <c:v>-11.604683456633607</c:v>
                </c:pt>
                <c:pt idx="793">
                  <c:v>-11.616839082235932</c:v>
                </c:pt>
                <c:pt idx="794">
                  <c:v>-11.62899472874966</c:v>
                </c:pt>
                <c:pt idx="795">
                  <c:v>-11.641150396174433</c:v>
                </c:pt>
                <c:pt idx="796">
                  <c:v>-11.6533060845099</c:v>
                </c:pt>
                <c:pt idx="797">
                  <c:v>-11.665461793755705</c:v>
                </c:pt>
                <c:pt idx="798">
                  <c:v>-11.677617523911495</c:v>
                </c:pt>
                <c:pt idx="799">
                  <c:v>-11.689773274976915</c:v>
                </c:pt>
                <c:pt idx="800">
                  <c:v>-11.70192904695161</c:v>
                </c:pt>
                <c:pt idx="801">
                  <c:v>-11.714084839835229</c:v>
                </c:pt>
                <c:pt idx="802">
                  <c:v>-11.726240653627416</c:v>
                </c:pt>
                <c:pt idx="803">
                  <c:v>-11.738396488327817</c:v>
                </c:pt>
                <c:pt idx="804">
                  <c:v>-11.750552343936079</c:v>
                </c:pt>
                <c:pt idx="805">
                  <c:v>-11.762708220451847</c:v>
                </c:pt>
                <c:pt idx="806">
                  <c:v>-11.774864117874767</c:v>
                </c:pt>
                <c:pt idx="807">
                  <c:v>-11.787020036204485</c:v>
                </c:pt>
                <c:pt idx="808">
                  <c:v>-11.799175975440646</c:v>
                </c:pt>
                <c:pt idx="809">
                  <c:v>-11.811331935582897</c:v>
                </c:pt>
                <c:pt idx="810">
                  <c:v>-11.823487916630885</c:v>
                </c:pt>
                <c:pt idx="811">
                  <c:v>-11.835643918584255</c:v>
                </c:pt>
                <c:pt idx="812">
                  <c:v>-11.847799941442652</c:v>
                </c:pt>
                <c:pt idx="813">
                  <c:v>-11.859955985205723</c:v>
                </c:pt>
                <c:pt idx="814">
                  <c:v>-11.872112049873113</c:v>
                </c:pt>
                <c:pt idx="815">
                  <c:v>-11.88426813544447</c:v>
                </c:pt>
                <c:pt idx="816">
                  <c:v>-11.896424241919439</c:v>
                </c:pt>
                <c:pt idx="817">
                  <c:v>-11.908580369297665</c:v>
                </c:pt>
                <c:pt idx="818">
                  <c:v>-11.920736517578794</c:v>
                </c:pt>
                <c:pt idx="819">
                  <c:v>-11.932892686762473</c:v>
                </c:pt>
                <c:pt idx="820">
                  <c:v>-11.945048876848348</c:v>
                </c:pt>
                <c:pt idx="821">
                  <c:v>-11.957205087836066</c:v>
                </c:pt>
                <c:pt idx="822">
                  <c:v>-11.96936131972527</c:v>
                </c:pt>
                <c:pt idx="823">
                  <c:v>-11.981517572515608</c:v>
                </c:pt>
                <c:pt idx="824">
                  <c:v>-11.993673846206727</c:v>
                </c:pt>
                <c:pt idx="825">
                  <c:v>-12.00583014079827</c:v>
                </c:pt>
                <c:pt idx="826">
                  <c:v>-12.017986456289886</c:v>
                </c:pt>
                <c:pt idx="827">
                  <c:v>-12.03014279268122</c:v>
                </c:pt>
                <c:pt idx="828">
                  <c:v>-12.042299149971917</c:v>
                </c:pt>
                <c:pt idx="829">
                  <c:v>-12.054455528161624</c:v>
                </c:pt>
                <c:pt idx="830">
                  <c:v>-12.066611927249987</c:v>
                </c:pt>
                <c:pt idx="831">
                  <c:v>-12.078768347236652</c:v>
                </c:pt>
                <c:pt idx="832">
                  <c:v>-12.090924788121264</c:v>
                </c:pt>
                <c:pt idx="833">
                  <c:v>-12.10308124990347</c:v>
                </c:pt>
                <c:pt idx="834">
                  <c:v>-12.115237732582916</c:v>
                </c:pt>
                <c:pt idx="835">
                  <c:v>-12.127394236159247</c:v>
                </c:pt>
                <c:pt idx="836">
                  <c:v>-12.139550760632112</c:v>
                </c:pt>
                <c:pt idx="837">
                  <c:v>-12.151707306001155</c:v>
                </c:pt>
                <c:pt idx="838">
                  <c:v>-12.163863872266022</c:v>
                </c:pt>
                <c:pt idx="839">
                  <c:v>-12.176020459426359</c:v>
                </c:pt>
                <c:pt idx="840">
                  <c:v>-12.188177067481814</c:v>
                </c:pt>
                <c:pt idx="841">
                  <c:v>-12.200333696432029</c:v>
                </c:pt>
                <c:pt idx="842">
                  <c:v>-12.212490346276653</c:v>
                </c:pt>
                <c:pt idx="843">
                  <c:v>-12.224647017015331</c:v>
                </c:pt>
                <c:pt idx="844">
                  <c:v>-12.236803708647709</c:v>
                </c:pt>
                <c:pt idx="845">
                  <c:v>-12.248960421173434</c:v>
                </c:pt>
                <c:pt idx="846">
                  <c:v>-12.261117154592153</c:v>
                </c:pt>
                <c:pt idx="847">
                  <c:v>-12.27327390890351</c:v>
                </c:pt>
                <c:pt idx="848">
                  <c:v>-12.285430684107153</c:v>
                </c:pt>
                <c:pt idx="849">
                  <c:v>-12.297587480202726</c:v>
                </c:pt>
                <c:pt idx="850">
                  <c:v>-12.309744297189875</c:v>
                </c:pt>
                <c:pt idx="851">
                  <c:v>-12.321901135068247</c:v>
                </c:pt>
                <c:pt idx="852">
                  <c:v>-12.334057993837488</c:v>
                </c:pt>
                <c:pt idx="853">
                  <c:v>-12.346214873497246</c:v>
                </c:pt>
                <c:pt idx="854">
                  <c:v>-12.358371774047164</c:v>
                </c:pt>
                <c:pt idx="855">
                  <c:v>-12.37052869548689</c:v>
                </c:pt>
                <c:pt idx="856">
                  <c:v>-12.382685637816069</c:v>
                </c:pt>
                <c:pt idx="857">
                  <c:v>-12.394842601034348</c:v>
                </c:pt>
                <c:pt idx="858">
                  <c:v>-12.406999585141374</c:v>
                </c:pt>
                <c:pt idx="859">
                  <c:v>-12.419156590136792</c:v>
                </c:pt>
                <c:pt idx="860">
                  <c:v>-12.431313616020248</c:v>
                </c:pt>
                <c:pt idx="861">
                  <c:v>-12.443470662791388</c:v>
                </c:pt>
                <c:pt idx="862">
                  <c:v>-12.455627730449857</c:v>
                </c:pt>
                <c:pt idx="863">
                  <c:v>-12.467784818995304</c:v>
                </c:pt>
                <c:pt idx="864">
                  <c:v>-12.479941928427372</c:v>
                </c:pt>
                <c:pt idx="865">
                  <c:v>-12.49209905874571</c:v>
                </c:pt>
                <c:pt idx="866">
                  <c:v>-12.504256209949963</c:v>
                </c:pt>
                <c:pt idx="867">
                  <c:v>-12.516413382039776</c:v>
                </c:pt>
                <c:pt idx="868">
                  <c:v>-12.528570575014797</c:v>
                </c:pt>
                <c:pt idx="869">
                  <c:v>-12.540727788874671</c:v>
                </c:pt>
                <c:pt idx="870">
                  <c:v>-12.552885023619044</c:v>
                </c:pt>
                <c:pt idx="871">
                  <c:v>-12.565042279247564</c:v>
                </c:pt>
                <c:pt idx="872">
                  <c:v>-12.577199555759874</c:v>
                </c:pt>
                <c:pt idx="873">
                  <c:v>-12.589356853155623</c:v>
                </c:pt>
                <c:pt idx="874">
                  <c:v>-12.601514171434456</c:v>
                </c:pt>
                <c:pt idx="875">
                  <c:v>-12.613671510596019</c:v>
                </c:pt>
                <c:pt idx="876">
                  <c:v>-12.625828870639959</c:v>
                </c:pt>
                <c:pt idx="877">
                  <c:v>-12.63798625156592</c:v>
                </c:pt>
                <c:pt idx="878">
                  <c:v>-12.650143653373551</c:v>
                </c:pt>
                <c:pt idx="879">
                  <c:v>-12.662301076062496</c:v>
                </c:pt>
                <c:pt idx="880">
                  <c:v>-12.674458519632402</c:v>
                </c:pt>
                <c:pt idx="881">
                  <c:v>-12.686615984082916</c:v>
                </c:pt>
                <c:pt idx="882">
                  <c:v>-12.698773469413684</c:v>
                </c:pt>
                <c:pt idx="883">
                  <c:v>-12.71093097562435</c:v>
                </c:pt>
                <c:pt idx="884">
                  <c:v>-12.723088502714564</c:v>
                </c:pt>
                <c:pt idx="885">
                  <c:v>-12.735246050683969</c:v>
                </c:pt>
                <c:pt idx="886">
                  <c:v>-12.747403619532212</c:v>
                </c:pt>
                <c:pt idx="887">
                  <c:v>-12.759561209258941</c:v>
                </c:pt>
                <c:pt idx="888">
                  <c:v>-12.771718819863798</c:v>
                </c:pt>
                <c:pt idx="889">
                  <c:v>-12.783876451346433</c:v>
                </c:pt>
                <c:pt idx="890">
                  <c:v>-12.796034103706491</c:v>
                </c:pt>
                <c:pt idx="891">
                  <c:v>-12.808191776943618</c:v>
                </c:pt>
                <c:pt idx="892">
                  <c:v>-12.82034947105746</c:v>
                </c:pt>
                <c:pt idx="893">
                  <c:v>-12.832507186047664</c:v>
                </c:pt>
                <c:pt idx="894">
                  <c:v>-12.844664921913877</c:v>
                </c:pt>
                <c:pt idx="895">
                  <c:v>-12.856822678655744</c:v>
                </c:pt>
                <c:pt idx="896">
                  <c:v>-12.868980456272912</c:v>
                </c:pt>
                <c:pt idx="897">
                  <c:v>-12.881138254765025</c:v>
                </c:pt>
                <c:pt idx="898">
                  <c:v>-12.893296074131731</c:v>
                </c:pt>
                <c:pt idx="899">
                  <c:v>-12.905453914372677</c:v>
                </c:pt>
                <c:pt idx="900">
                  <c:v>-12.917611775487508</c:v>
                </c:pt>
                <c:pt idx="901">
                  <c:v>-12.929769657475871</c:v>
                </c:pt>
                <c:pt idx="902">
                  <c:v>-12.941927560337412</c:v>
                </c:pt>
                <c:pt idx="903">
                  <c:v>-12.954085484071776</c:v>
                </c:pt>
                <c:pt idx="904">
                  <c:v>-12.966243428678611</c:v>
                </c:pt>
                <c:pt idx="905">
                  <c:v>-12.978401394157563</c:v>
                </c:pt>
                <c:pt idx="906">
                  <c:v>-12.990559380508278</c:v>
                </c:pt>
                <c:pt idx="907">
                  <c:v>-13.002717387730401</c:v>
                </c:pt>
                <c:pt idx="908">
                  <c:v>-13.01487541582358</c:v>
                </c:pt>
                <c:pt idx="909">
                  <c:v>-13.027033464787461</c:v>
                </c:pt>
                <c:pt idx="910">
                  <c:v>-13.03919153462169</c:v>
                </c:pt>
                <c:pt idx="911">
                  <c:v>-13.051349625325912</c:v>
                </c:pt>
                <c:pt idx="912">
                  <c:v>-13.063507736899775</c:v>
                </c:pt>
                <c:pt idx="913">
                  <c:v>-13.075665869342924</c:v>
                </c:pt>
                <c:pt idx="914">
                  <c:v>-13.087824022655006</c:v>
                </c:pt>
                <c:pt idx="915">
                  <c:v>-13.099982196835668</c:v>
                </c:pt>
                <c:pt idx="916">
                  <c:v>-13.112140391884557</c:v>
                </c:pt>
                <c:pt idx="917">
                  <c:v>-13.124298607801316</c:v>
                </c:pt>
                <c:pt idx="918">
                  <c:v>-13.136456844585595</c:v>
                </c:pt>
                <c:pt idx="919">
                  <c:v>-13.148615102237038</c:v>
                </c:pt>
                <c:pt idx="920">
                  <c:v>-13.160773380755291</c:v>
                </c:pt>
                <c:pt idx="921">
                  <c:v>-13.172931680140001</c:v>
                </c:pt>
                <c:pt idx="922">
                  <c:v>-13.185090000390815</c:v>
                </c:pt>
                <c:pt idx="923">
                  <c:v>-13.197248341507379</c:v>
                </c:pt>
                <c:pt idx="924">
                  <c:v>-13.209406703489339</c:v>
                </c:pt>
                <c:pt idx="925">
                  <c:v>-13.221565086336341</c:v>
                </c:pt>
                <c:pt idx="926">
                  <c:v>-13.233723490048032</c:v>
                </c:pt>
                <c:pt idx="927">
                  <c:v>-13.245881914624057</c:v>
                </c:pt>
                <c:pt idx="928">
                  <c:v>-13.258040360064065</c:v>
                </c:pt>
                <c:pt idx="929">
                  <c:v>-13.2701988263677</c:v>
                </c:pt>
                <c:pt idx="930">
                  <c:v>-13.282357313534609</c:v>
                </c:pt>
                <c:pt idx="931">
                  <c:v>-13.294515821564438</c:v>
                </c:pt>
                <c:pt idx="932">
                  <c:v>-13.306674350456834</c:v>
                </c:pt>
                <c:pt idx="933">
                  <c:v>-13.318832900211444</c:v>
                </c:pt>
                <c:pt idx="934">
                  <c:v>-13.330991470827913</c:v>
                </c:pt>
                <c:pt idx="935">
                  <c:v>-13.343150062305886</c:v>
                </c:pt>
                <c:pt idx="936">
                  <c:v>-13.355308674645013</c:v>
                </c:pt>
                <c:pt idx="937">
                  <c:v>-13.367467307844937</c:v>
                </c:pt>
                <c:pt idx="938">
                  <c:v>-13.379625961905306</c:v>
                </c:pt>
                <c:pt idx="939">
                  <c:v>-13.391784636825767</c:v>
                </c:pt>
                <c:pt idx="940">
                  <c:v>-13.403943332605966</c:v>
                </c:pt>
                <c:pt idx="941">
                  <c:v>-13.416102049245548</c:v>
                </c:pt>
                <c:pt idx="942">
                  <c:v>-13.428260786744161</c:v>
                </c:pt>
                <c:pt idx="943">
                  <c:v>-13.440419545101451</c:v>
                </c:pt>
                <c:pt idx="944">
                  <c:v>-13.452578324317063</c:v>
                </c:pt>
                <c:pt idx="945">
                  <c:v>-13.464737124390645</c:v>
                </c:pt>
                <c:pt idx="946">
                  <c:v>-13.476895945321843</c:v>
                </c:pt>
                <c:pt idx="947">
                  <c:v>-13.489054787110302</c:v>
                </c:pt>
                <c:pt idx="948">
                  <c:v>-13.50121364975567</c:v>
                </c:pt>
                <c:pt idx="949">
                  <c:v>-13.513372533257593</c:v>
                </c:pt>
                <c:pt idx="950">
                  <c:v>-13.525531437615717</c:v>
                </c:pt>
                <c:pt idx="951">
                  <c:v>-13.537690362829689</c:v>
                </c:pt>
                <c:pt idx="952">
                  <c:v>-13.549849308899155</c:v>
                </c:pt>
                <c:pt idx="953">
                  <c:v>-13.562008275823763</c:v>
                </c:pt>
                <c:pt idx="954">
                  <c:v>-13.574167263603156</c:v>
                </c:pt>
                <c:pt idx="955">
                  <c:v>-13.586326272236983</c:v>
                </c:pt>
                <c:pt idx="956">
                  <c:v>-13.598485301724891</c:v>
                </c:pt>
                <c:pt idx="957">
                  <c:v>-13.610644352066524</c:v>
                </c:pt>
                <c:pt idx="958">
                  <c:v>-13.62280342326153</c:v>
                </c:pt>
                <c:pt idx="959">
                  <c:v>-13.634962515309555</c:v>
                </c:pt>
                <c:pt idx="960">
                  <c:v>-13.647121628210245</c:v>
                </c:pt>
                <c:pt idx="961">
                  <c:v>-13.659280761963247</c:v>
                </c:pt>
                <c:pt idx="962">
                  <c:v>-13.671439916568207</c:v>
                </c:pt>
                <c:pt idx="963">
                  <c:v>-13.683599092024773</c:v>
                </c:pt>
                <c:pt idx="964">
                  <c:v>-13.695758288332589</c:v>
                </c:pt>
                <c:pt idx="965">
                  <c:v>-13.707917505491304</c:v>
                </c:pt>
                <c:pt idx="966">
                  <c:v>-13.720076743500563</c:v>
                </c:pt>
                <c:pt idx="967">
                  <c:v>-13.732236002360011</c:v>
                </c:pt>
                <c:pt idx="968">
                  <c:v>-13.744395282069297</c:v>
                </c:pt>
                <c:pt idx="969">
                  <c:v>-13.756554582628066</c:v>
                </c:pt>
                <c:pt idx="970">
                  <c:v>-13.768713904035966</c:v>
                </c:pt>
                <c:pt idx="971">
                  <c:v>-13.780873246292641</c:v>
                </c:pt>
                <c:pt idx="972">
                  <c:v>-13.79303260939774</c:v>
                </c:pt>
                <c:pt idx="973">
                  <c:v>-13.805191993350908</c:v>
                </c:pt>
                <c:pt idx="974">
                  <c:v>-13.817351398151791</c:v>
                </c:pt>
                <c:pt idx="975">
                  <c:v>-13.829510823800037</c:v>
                </c:pt>
                <c:pt idx="976">
                  <c:v>-13.841670270295291</c:v>
                </c:pt>
                <c:pt idx="977">
                  <c:v>-13.8538297376372</c:v>
                </c:pt>
                <c:pt idx="978">
                  <c:v>-13.865989225825411</c:v>
                </c:pt>
                <c:pt idx="979">
                  <c:v>-13.87814873485957</c:v>
                </c:pt>
                <c:pt idx="980">
                  <c:v>-13.890308264739325</c:v>
                </c:pt>
                <c:pt idx="981">
                  <c:v>-13.90246781546432</c:v>
                </c:pt>
                <c:pt idx="982">
                  <c:v>-13.914627387034203</c:v>
                </c:pt>
                <c:pt idx="983">
                  <c:v>-13.92678697944862</c:v>
                </c:pt>
                <c:pt idx="984">
                  <c:v>-13.938946592707218</c:v>
                </c:pt>
                <c:pt idx="985">
                  <c:v>-13.951106226809642</c:v>
                </c:pt>
                <c:pt idx="986">
                  <c:v>-13.963265881755541</c:v>
                </c:pt>
                <c:pt idx="987">
                  <c:v>-13.975425557544559</c:v>
                </c:pt>
                <c:pt idx="988">
                  <c:v>-13.987585254176345</c:v>
                </c:pt>
                <c:pt idx="989">
                  <c:v>-13.999744971650543</c:v>
                </c:pt>
                <c:pt idx="990">
                  <c:v>-14.011904709966801</c:v>
                </c:pt>
                <c:pt idx="991">
                  <c:v>-14.024064469124765</c:v>
                </c:pt>
                <c:pt idx="992">
                  <c:v>-14.036224249124082</c:v>
                </c:pt>
                <c:pt idx="993">
                  <c:v>-14.048384049964397</c:v>
                </c:pt>
                <c:pt idx="994">
                  <c:v>-14.060543871645359</c:v>
                </c:pt>
                <c:pt idx="995">
                  <c:v>-14.072703714166614</c:v>
                </c:pt>
                <c:pt idx="996">
                  <c:v>-14.084863577527807</c:v>
                </c:pt>
                <c:pt idx="997">
                  <c:v>-14.097023461728586</c:v>
                </c:pt>
                <c:pt idx="998">
                  <c:v>-14.109183366768596</c:v>
                </c:pt>
                <c:pt idx="999">
                  <c:v>-14.121343292647484</c:v>
                </c:pt>
                <c:pt idx="1000">
                  <c:v>-14.133503239364899</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Pro54-5G WT</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0.02</c:v>
                </c:pt>
                <c:pt idx="3">
                  <c:v>0.05</c:v>
                </c:pt>
                <c:pt idx="4">
                  <c:v>0.1</c:v>
                </c:pt>
                <c:pt idx="5">
                  <c:v>0.2</c:v>
                </c:pt>
                <c:pt idx="6">
                  <c:v>0.4</c:v>
                </c:pt>
                <c:pt idx="7">
                  <c:v>0.8</c:v>
                </c:pt>
                <c:pt idx="8">
                  <c:v>0.9</c:v>
                </c:pt>
                <c:pt idx="9">
                  <c:v>1</c:v>
                </c:pt>
                <c:pt idx="10">
                  <c:v>1.1000000000000001</c:v>
                </c:pt>
                <c:pt idx="11">
                  <c:v>1.2</c:v>
                </c:pt>
                <c:pt idx="12">
                  <c:v>1.3</c:v>
                </c:pt>
                <c:pt idx="13">
                  <c:v>1.4</c:v>
                </c:pt>
                <c:pt idx="14">
                  <c:v>1.55</c:v>
                </c:pt>
                <c:pt idx="15">
                  <c:v>1.6</c:v>
                </c:pt>
                <c:pt idx="16">
                  <c:v>1.62</c:v>
                </c:pt>
                <c:pt idx="17">
                  <c:v>1.64</c:v>
                </c:pt>
                <c:pt idx="18">
                  <c:v>1.66</c:v>
                </c:pt>
                <c:pt idx="19">
                  <c:v>1.67</c:v>
                </c:pt>
                <c:pt idx="20">
                  <c:v>1.68</c:v>
                </c:pt>
                <c:pt idx="21">
                  <c:v>1.69</c:v>
                </c:pt>
                <c:pt idx="22">
                  <c:v>1.7</c:v>
                </c:pt>
              </c:numCache>
            </c:numRef>
          </c:xVal>
          <c:yVal>
            <c:numRef>
              <c:f>Propu!$B$4:$X$4</c:f>
              <c:numCache>
                <c:formatCode>General</c:formatCode>
                <c:ptCount val="23"/>
                <c:pt idx="0">
                  <c:v>0</c:v>
                </c:pt>
                <c:pt idx="1">
                  <c:v>492.25</c:v>
                </c:pt>
                <c:pt idx="2">
                  <c:v>1369.46</c:v>
                </c:pt>
                <c:pt idx="3">
                  <c:v>1236.01</c:v>
                </c:pt>
                <c:pt idx="4">
                  <c:v>1279.47</c:v>
                </c:pt>
                <c:pt idx="5">
                  <c:v>1311.39</c:v>
                </c:pt>
                <c:pt idx="6">
                  <c:v>1331.39</c:v>
                </c:pt>
                <c:pt idx="7">
                  <c:v>1304.08</c:v>
                </c:pt>
                <c:pt idx="8">
                  <c:v>1280.6199999999999</c:v>
                </c:pt>
                <c:pt idx="9">
                  <c:v>1249.8599999999999</c:v>
                </c:pt>
                <c:pt idx="10">
                  <c:v>1217.94</c:v>
                </c:pt>
                <c:pt idx="11">
                  <c:v>1199.29</c:v>
                </c:pt>
                <c:pt idx="12">
                  <c:v>1158.77</c:v>
                </c:pt>
                <c:pt idx="13">
                  <c:v>1112.56</c:v>
                </c:pt>
                <c:pt idx="14">
                  <c:v>941.81</c:v>
                </c:pt>
                <c:pt idx="15">
                  <c:v>726.07</c:v>
                </c:pt>
                <c:pt idx="16">
                  <c:v>559.16999999999996</c:v>
                </c:pt>
                <c:pt idx="17">
                  <c:v>399.95</c:v>
                </c:pt>
                <c:pt idx="18">
                  <c:v>317.66000000000003</c:v>
                </c:pt>
                <c:pt idx="19">
                  <c:v>247.28</c:v>
                </c:pt>
                <c:pt idx="20">
                  <c:v>198.05</c:v>
                </c:pt>
                <c:pt idx="21">
                  <c:v>67.3</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275"/>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1992"/>
</file>

<file path=xl/ctrlProps/ctrlProp12.xml><?xml version="1.0" encoding="utf-8"?>
<formControlPr xmlns="http://schemas.microsoft.com/office/spreadsheetml/2009/9/main" objectType="Spin" dx="15" fmlaLink="$C$12" inc="100" max="30000" noThreeD="1" page="10" val="6830"/>
</file>

<file path=xl/ctrlProps/ctrlProp13.xml><?xml version="1.0" encoding="utf-8"?>
<formControlPr xmlns="http://schemas.microsoft.com/office/spreadsheetml/2009/9/main" objectType="Spin" dx="15" fmlaLink="$C$12" inc="100" max="30000" noThreeD="1" page="10" val="6830"/>
</file>

<file path=xl/ctrlProps/ctrlProp14.xml><?xml version="1.0" encoding="utf-8"?>
<formControlPr xmlns="http://schemas.microsoft.com/office/spreadsheetml/2009/9/main" objectType="Spin" dx="15" fmlaLink="Stabilito!C12" inc="100" max="30000" noThreeD="1" page="10" val="6830"/>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6830"/>
</file>

<file path=xl/ctrlProps/ctrlProp2.xml><?xml version="1.0" encoding="utf-8"?>
<formControlPr xmlns="http://schemas.microsoft.com/office/spreadsheetml/2009/9/main" objectType="Spin" dx="15" fmlaLink="$C$12" inc="100" max="30000" noThreeD="1" page="10" val="6830"/>
</file>

<file path=xl/ctrlProps/ctrlProp20.xml><?xml version="1.0" encoding="utf-8"?>
<formControlPr xmlns="http://schemas.microsoft.com/office/spreadsheetml/2009/9/main" objectType="Spin" dx="15" fmlaLink="Stabilito!C12" inc="100" max="30000" noThreeD="1" page="10" val="6830"/>
</file>

<file path=xl/ctrlProps/ctrlProp3.xml><?xml version="1.0" encoding="utf-8"?>
<formControlPr xmlns="http://schemas.microsoft.com/office/spreadsheetml/2009/9/main" objectType="Spin" dx="15" fmlaLink="$C$13" inc="50" max="30000" noThreeD="1" page="10" val="1000"/>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90"/>
</file>

<file path=xl/ctrlProps/ctrlProp6.xml><?xml version="1.0" encoding="utf-8"?>
<formControlPr xmlns="http://schemas.microsoft.com/office/spreadsheetml/2009/9/main" objectType="Spin" dx="15" fmlaLink="$C$29" inc="10" max="30000" noThreeD="1" page="10" val="120"/>
</file>

<file path=xl/ctrlProps/ctrlProp7.xml><?xml version="1.0" encoding="utf-8"?>
<formControlPr xmlns="http://schemas.microsoft.com/office/spreadsheetml/2009/9/main" objectType="Spin" dx="15" fmlaLink="$C$30" inc="10" max="30000" noThreeD="1" page="10" val="130"/>
</file>

<file path=xl/ctrlProps/ctrlProp8.xml><?xml version="1.0" encoding="utf-8"?>
<formControlPr xmlns="http://schemas.microsoft.com/office/spreadsheetml/2009/9/main" objectType="Spin" dx="15" fmlaLink="$C$31" inc="10" max="30000" noThreeD="1" page="10" val="130"/>
</file>

<file path=xl/ctrlProps/ctrlProp9.xml><?xml version="1.0" encoding="utf-8"?>
<formControlPr xmlns="http://schemas.microsoft.com/office/spreadsheetml/2009/9/main" objectType="Spin" dx="15" fmlaLink="$C$32" max="30000" noThreeD="1" page="10" val="4"/>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topLeftCell="B1" zoomScale="115" zoomScaleNormal="115" zoomScaleSheetLayoutView="100" workbookViewId="0">
      <selection activeCell="S23" sqref="S23"/>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68" t="s">
        <v>53</v>
      </c>
      <c r="D2" s="568"/>
      <c r="L2" s="147" t="str">
        <f>"Language/Langue"</f>
        <v>Language/Langue</v>
      </c>
      <c r="M2" s="544" t="s">
        <v>1</v>
      </c>
      <c r="N2" s="544"/>
      <c r="O2" s="544"/>
      <c r="P2" s="545"/>
      <c r="Q2" s="27"/>
    </row>
    <row r="3" spans="1:20" ht="12.75" customHeight="1" x14ac:dyDescent="0.2">
      <c r="A3" s="25"/>
      <c r="C3" s="568"/>
      <c r="D3" s="568"/>
      <c r="L3" s="555"/>
      <c r="M3" s="555"/>
      <c r="N3" s="45"/>
      <c r="Q3" s="27"/>
    </row>
    <row r="4" spans="1:20" ht="12.75" customHeight="1" x14ac:dyDescent="0.2">
      <c r="A4" s="25"/>
      <c r="C4" s="569" t="str">
        <f>IF(Lang="Français","Stabilité de fusée à ailerons",IF(Lang="English","Stability for rocket with fins",""))</f>
        <v>Stabilité de fusée à ailerons</v>
      </c>
      <c r="D4" s="569"/>
      <c r="L4" s="33"/>
      <c r="M4" s="544" t="s">
        <v>571</v>
      </c>
      <c r="N4" s="544"/>
      <c r="O4" s="544"/>
      <c r="P4" s="545"/>
      <c r="Q4" s="27"/>
    </row>
    <row r="5" spans="1:20" ht="12.75" customHeight="1" x14ac:dyDescent="0.25">
      <c r="A5" s="25"/>
      <c r="B5" s="28"/>
      <c r="C5" s="583"/>
      <c r="D5" s="583"/>
      <c r="L5" s="33"/>
      <c r="M5" s="575" t="s">
        <v>156</v>
      </c>
      <c r="N5" s="576"/>
      <c r="O5" s="558" t="s">
        <v>157</v>
      </c>
      <c r="P5" s="558"/>
      <c r="Q5" s="29"/>
    </row>
    <row r="6" spans="1:20" ht="12.75" customHeight="1" thickBot="1" x14ac:dyDescent="0.25">
      <c r="A6" s="25"/>
      <c r="B6" s="87"/>
      <c r="C6" s="593" t="str">
        <f>IF(Lang="Français","Remplir les cases jaunes",IF(Lang="English","Fill-in yellow cells only",""))</f>
        <v>Remplir les cases jaunes</v>
      </c>
      <c r="D6" s="593"/>
      <c r="L6" s="139" t="str">
        <f>IF(Lang="Français","Longueur      'L'",IF(Lang="English","Length      'L'",""))</f>
        <v>Longueur      'L'</v>
      </c>
      <c r="M6" s="564">
        <v>50</v>
      </c>
      <c r="N6" s="565"/>
      <c r="O6" s="550">
        <v>70</v>
      </c>
      <c r="P6" s="550"/>
      <c r="Q6" s="29"/>
    </row>
    <row r="7" spans="1:20" ht="12.75" customHeight="1" thickTop="1" thickBot="1" x14ac:dyDescent="0.25">
      <c r="A7" s="25"/>
      <c r="B7" s="31"/>
      <c r="C7" s="571" t="str">
        <f>IF(Lang="Français","Fusée",IF(Lang="English","Rocket",""))</f>
        <v>Fusée</v>
      </c>
      <c r="D7" s="572"/>
      <c r="L7" s="139" t="str">
        <f>IF(Lang="Français","Diamètre     'D1'",IF(Lang="English","Diameter 'D1'",""))</f>
        <v>Diamètre     'D1'</v>
      </c>
      <c r="M7" s="564">
        <v>84</v>
      </c>
      <c r="N7" s="565"/>
      <c r="O7" s="550">
        <v>104</v>
      </c>
      <c r="P7" s="550"/>
      <c r="Q7" s="29"/>
    </row>
    <row r="8" spans="1:20" ht="12.75" customHeight="1" thickTop="1" x14ac:dyDescent="0.2">
      <c r="A8" s="25"/>
      <c r="B8" s="138" t="str">
        <f>IF(Lang="Français","Nom",IF(Lang="English","Name",""))</f>
        <v>Nom</v>
      </c>
      <c r="C8" s="594" t="s">
        <v>572</v>
      </c>
      <c r="D8" s="594"/>
      <c r="E8" s="90"/>
      <c r="K8" s="33"/>
      <c r="L8" s="139" t="str">
        <f>IF(Lang="Français","Diamètre     'D2'",IF(Lang="English","Diameter 'D2'",""))</f>
        <v>Diamètre     'D2'</v>
      </c>
      <c r="M8" s="564">
        <v>104</v>
      </c>
      <c r="N8" s="565"/>
      <c r="O8" s="550">
        <v>84</v>
      </c>
      <c r="P8" s="550"/>
      <c r="Q8" s="29"/>
    </row>
    <row r="9" spans="1:20" ht="12.75" customHeight="1" x14ac:dyDescent="0.2">
      <c r="A9" s="25"/>
      <c r="B9" s="138" t="s">
        <v>4</v>
      </c>
      <c r="C9" s="595" t="s">
        <v>569</v>
      </c>
      <c r="D9" s="595"/>
      <c r="E9" s="90"/>
      <c r="K9" s="33"/>
      <c r="L9" s="139" t="str">
        <f>IF(Lang="Français","Implantation 'x'",IF(Lang="English","Basement 'x'",""))</f>
        <v>Implantation 'x'</v>
      </c>
      <c r="M9" s="564">
        <v>1250</v>
      </c>
      <c r="N9" s="565"/>
      <c r="O9" s="550">
        <v>1922</v>
      </c>
      <c r="P9" s="550"/>
      <c r="Q9" s="29"/>
    </row>
    <row r="10" spans="1:20" ht="12.75" customHeight="1" x14ac:dyDescent="0.2">
      <c r="A10" s="25"/>
      <c r="B10" s="138" t="s">
        <v>563</v>
      </c>
      <c r="C10" s="537" t="str">
        <f>IF((LEFT(Type_fusee,4)="Mini"),"MF",(IF((RIGHT(Type_fusee,1)="."),"FX","")))</f>
        <v>FX</v>
      </c>
      <c r="D10" s="538">
        <v>0</v>
      </c>
      <c r="E10" s="539" t="str">
        <f>IF(C10="","",C10&amp;D10)</f>
        <v>FX0</v>
      </c>
      <c r="K10" s="33"/>
      <c r="Q10" s="29"/>
    </row>
    <row r="11" spans="1:20" ht="12.75" customHeight="1" x14ac:dyDescent="0.2">
      <c r="A11" s="25"/>
      <c r="B11" s="139" t="s">
        <v>54</v>
      </c>
      <c r="C11" s="573" t="s">
        <v>568</v>
      </c>
      <c r="D11" s="574"/>
      <c r="E11" s="90"/>
      <c r="K11" s="33"/>
      <c r="L11" s="107"/>
      <c r="M11" s="224" t="str">
        <f>IF(Lang="Français","Propu plein",IF(Lang="English","Loaded Motor",""))</f>
        <v>Propu plein</v>
      </c>
      <c r="N11" s="556" t="str">
        <f>IF(Lang="Français","Propu vide",IF(Lang="English","Empty Motor",""))</f>
        <v>Propu vide</v>
      </c>
      <c r="O11" s="557"/>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6830</v>
      </c>
      <c r="D12" s="34" t="s">
        <v>423</v>
      </c>
      <c r="L12" s="108" t="str">
        <f>IF(Lang="Français","Masse propu",IF(Lang="English","Motor Mass",""))</f>
        <v>Masse propu</v>
      </c>
      <c r="M12" s="109">
        <f ca="1">MpropuPlein</f>
        <v>1.6319999999999999</v>
      </c>
      <c r="N12" s="548">
        <f ca="1">MpropuVide</f>
        <v>0.65</v>
      </c>
      <c r="O12" s="549"/>
      <c r="P12" s="110" t="s">
        <v>14</v>
      </c>
      <c r="Q12" s="29"/>
      <c r="S12" s="386" t="str">
        <f>IF(Lang="Français","Haut",IF(Lang="English","Top",""))</f>
        <v>Haut</v>
      </c>
      <c r="T12" s="387">
        <f ca="1">XpropuRef-Long_propu</f>
        <v>1504</v>
      </c>
    </row>
    <row r="13" spans="1:20" ht="12.75" customHeight="1" x14ac:dyDescent="0.2">
      <c r="A13" s="25"/>
      <c r="B13" s="139" t="str">
        <f>IF(Lang="Français","Centre de Masse",IF(Lang="English","Center of Mass",""))</f>
        <v>Centre de Masse</v>
      </c>
      <c r="C13" s="35">
        <v>1000</v>
      </c>
      <c r="D13" s="34" t="s">
        <v>423</v>
      </c>
      <c r="L13" s="108" t="str">
        <f>IF(Lang="Français","CdM propu",IF(Lang="English","Motor CoM",""))</f>
        <v>CdM propu</v>
      </c>
      <c r="M13" s="111">
        <f ca="1">XpropuPlein</f>
        <v>250</v>
      </c>
      <c r="N13" s="546">
        <f ca="1">XpropuVide</f>
        <v>240</v>
      </c>
      <c r="O13" s="547"/>
      <c r="P13" s="110" t="s">
        <v>14</v>
      </c>
      <c r="Q13" s="29"/>
      <c r="S13" s="386" t="str">
        <f>IF(Lang="Français","Longueur",IF(Lang="English","Length",""))</f>
        <v>Longueur</v>
      </c>
      <c r="T13" s="387">
        <f ca="1">Long_propu</f>
        <v>488</v>
      </c>
    </row>
    <row r="14" spans="1:20" ht="12.6" customHeight="1" x14ac:dyDescent="0.2">
      <c r="A14" s="25"/>
      <c r="B14" s="139" t="str">
        <f>IF(Lang="Français","Longueur totale",IF(Lang="English","Total length",""))</f>
        <v>Longueur totale</v>
      </c>
      <c r="C14" s="564">
        <v>1992</v>
      </c>
      <c r="D14" s="565"/>
      <c r="L14" s="108" t="str">
        <f>IF(Lang="Français","Masse fusée",IF(Lang="English","Rocket Mass",""))</f>
        <v>Masse fusée</v>
      </c>
      <c r="M14" s="112">
        <f ca="1">MasseSans+MpropuPlein</f>
        <v>8.4619999999999997</v>
      </c>
      <c r="N14" s="577">
        <f ca="1">MasseSans+MpropuVide</f>
        <v>7.48</v>
      </c>
      <c r="O14" s="578"/>
      <c r="P14" s="109">
        <f>IF(OR(D12="sans propu",D12="without motor"),C12/1000,IF(OR(D12="avec propu vide",D12="with empty motor"),C12/1000-MpropuVide,IF(OR(D12="avec propu plein",D12="with loaded motor"),C12/1000-MpropuPlein,"Erreur")))</f>
        <v>6.83</v>
      </c>
      <c r="Q14" s="29"/>
      <c r="S14" s="386" t="str">
        <f>IF(Lang="Français","Bas",IF(Lang="English","Base",""))</f>
        <v>Bas</v>
      </c>
      <c r="T14" s="387">
        <f>XpropuRef</f>
        <v>1992</v>
      </c>
    </row>
    <row r="15" spans="1:20" ht="12.75" customHeight="1" x14ac:dyDescent="0.2">
      <c r="A15" s="25"/>
      <c r="B15" s="139" t="str">
        <f>IF(Lang="Français","Diamètre Réf.",IF(Lang="English","Ref. Diameter",""))</f>
        <v>Diamètre Réf.</v>
      </c>
      <c r="C15" s="564">
        <v>104</v>
      </c>
      <c r="D15" s="565"/>
      <c r="L15" s="175" t="str">
        <f>IF(Lang="Français","CdM fusée",IF(Lang="English","Rocket CoM",""))</f>
        <v>CdM fusée</v>
      </c>
      <c r="M15" s="176">
        <f ca="1">(XcgSans*MasseSans+(XpropuRef-Long_propu+XpropuPlein)*MpropuPlein)/MassePlein</f>
        <v>1145.418104467029</v>
      </c>
      <c r="N15" s="579">
        <f ca="1">(XcgSans*MasseSans+(XpropuRef-Long_propu+XpropuVide)*MpropuVide)/MasseVide</f>
        <v>1064.6524064171124</v>
      </c>
      <c r="O15" s="580"/>
      <c r="P15" s="113">
        <f>IF(OR(D13="sans propu",D13="without motor"),C13,IF(OR(D13="avec propu vide",D13="with empty motor"),(C13*MasseVide-(XpropuRef-Long_propu+XpropuVide)*MpropuVide)/MasseSans,IF(OR(D13="avec propu plein",D13="with loaded motor"),(C13*MassePlein-(XpropuRef-Long_propu+XpropuPlein)*MpropuPlein)/MasseSans,"Erreur")))</f>
        <v>1000</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0" ht="12.75" customHeight="1" thickTop="1" thickBot="1" x14ac:dyDescent="0.25">
      <c r="A17" s="25"/>
      <c r="C17" s="585" t="str">
        <f>IF(Lang="Français","Propulseur",IF(Lang="English","Motor",""))</f>
        <v>Propulseur</v>
      </c>
      <c r="D17" s="586"/>
      <c r="L17" s="114"/>
      <c r="M17" s="581" t="s">
        <v>55</v>
      </c>
      <c r="N17" s="582"/>
      <c r="O17" s="559" t="s">
        <v>65</v>
      </c>
      <c r="P17" s="559"/>
      <c r="Q17" s="29"/>
      <c r="S17" s="386" t="str">
        <f>IF(Lang="Français","Haut","Top")</f>
        <v>Haut</v>
      </c>
      <c r="T17" s="387">
        <f>X_ail-m_ail</f>
        <v>1732</v>
      </c>
    </row>
    <row r="18" spans="1:20" ht="12.75" customHeight="1" thickTop="1" x14ac:dyDescent="0.2">
      <c r="A18" s="25"/>
      <c r="B18" s="139" t="s">
        <v>54</v>
      </c>
      <c r="C18" s="587" t="s">
        <v>552</v>
      </c>
      <c r="D18" s="588"/>
      <c r="K18" s="37"/>
      <c r="L18" s="108" t="str">
        <f>IF(Lang="Français","Coiffe",IF(Lang="English","Nose Cone",""))</f>
        <v>Coiffe</v>
      </c>
      <c r="M18" s="553">
        <f>IF(LEFT(Forme_ogive,5)="Parab",1/2*Long_ogive,IF(LEFT(Forme_ogive,4)="Ogiv",7/15*Long_ogive,IF(LEFT(Forme_ogive,3)="Con",2/3*Long_ogive)))</f>
        <v>183.33333333333331</v>
      </c>
      <c r="N18" s="554"/>
      <c r="O18" s="560">
        <f>2*POWER(D_og/D_ref, 2)</f>
        <v>1.304733727810651</v>
      </c>
      <c r="P18" s="560"/>
      <c r="Q18" s="29"/>
      <c r="S18" s="386" t="str">
        <f>IF(Lang="Français","Emplanture","Root edge")</f>
        <v>Emplanture</v>
      </c>
      <c r="T18" s="387">
        <f>m_ail</f>
        <v>190</v>
      </c>
    </row>
    <row r="19" spans="1:20" ht="12.75" customHeight="1" x14ac:dyDescent="0.2">
      <c r="A19" s="25"/>
      <c r="B19" s="139" t="str">
        <f>IF(Lang="Français","Position du bas",IF(Lang="English","Basement",""))</f>
        <v>Position du bas</v>
      </c>
      <c r="C19" s="550">
        <v>1992</v>
      </c>
      <c r="D19" s="550"/>
      <c r="L19" s="108" t="str">
        <f>IF(Lang="Français","Ailerons",IF(Lang="English","Fins",""))</f>
        <v>Ailerons</v>
      </c>
      <c r="M19" s="553">
        <f>(XCpa*Cnail-0.5*XCpi*Cni)/Cnai</f>
        <v>1837.1050301032394</v>
      </c>
      <c r="N19" s="554"/>
      <c r="O19" s="589">
        <f>Cnail-Cni/2</f>
        <v>8.7623033028722048</v>
      </c>
      <c r="P19" s="590"/>
      <c r="Q19" s="29"/>
      <c r="S19" s="386" t="str">
        <f>IF(Lang="Français","Bas","Base")</f>
        <v>Bas</v>
      </c>
      <c r="T19" s="387">
        <f>X_ail</f>
        <v>1922</v>
      </c>
    </row>
    <row r="20" spans="1:20" ht="12.75" customHeight="1" thickBot="1" x14ac:dyDescent="0.25">
      <c r="A20" s="25"/>
      <c r="B20" s="428" t="str">
        <f>IF(Propu="Cariacou","Cariacou :"," ")</f>
        <v xml:space="preserve"> </v>
      </c>
      <c r="C20" s="563" t="str">
        <f>IF(Propu="Pandora (Pro24-6G)",IF(Lang="Français","C'Space Seulement",IF(Lang="English","C'Space only","")),"")</f>
        <v/>
      </c>
      <c r="D20" s="563"/>
      <c r="L20" s="108" t="str">
        <f>IF(Lang="Français","Ail bas entier",IF(Lang="English","Total Lower Fins",""))</f>
        <v>Ail bas entier</v>
      </c>
      <c r="M20" s="553">
        <f>X_ail-m_ail+p_ail*(m_ail+2*n_ail)/(3*(m_ail+n_ail))+(m_ail+n_ail-m_ail*n_ail/(m_ail+n_ail))/6</f>
        <v>1831.516129032258</v>
      </c>
      <c r="N20" s="554"/>
      <c r="O20" s="560">
        <f>4*Q_ail*POWER((E_ail/D_ref),2)*(1+D_ail/(2*E_ail+D_ail))/(1+SQRT(1+POWER(2*f_ail/(m_ail+n_ail),2)))</f>
        <v>13.163035970360488</v>
      </c>
      <c r="P20" s="560"/>
      <c r="Q20" s="29"/>
    </row>
    <row r="21" spans="1:20" ht="12.75" customHeight="1" thickTop="1" thickBot="1" x14ac:dyDescent="0.25">
      <c r="A21" s="25"/>
      <c r="B21" s="30"/>
      <c r="C21" s="591" t="str">
        <f>IF(Lang="Français","Coiffe",IF(Lang="English","Nose Cone",""))</f>
        <v>Coiffe</v>
      </c>
      <c r="D21" s="592"/>
      <c r="L21" s="108" t="str">
        <f>IF(Lang="Français","Ailerons haut",IF(Lang="English","Upper Fins",""))</f>
        <v>Ailerons haut</v>
      </c>
      <c r="M21" s="553">
        <f>IF(LEFT(Type_masquage,1)="M",0, X_can-m_can+p_can*(m_can+2*n_can)/(3*(m_can+n_can))+(m_can+n_can-m_can*n_can/(m_can+n_can))/6)</f>
        <v>959.2</v>
      </c>
      <c r="N21" s="554"/>
      <c r="O21" s="560">
        <f>IF(LEFT(Type_masquage,1)="M",0, 4*Q_can*POWER((E_can/D_ref),2)*(1+D_can/(2*E_can+D_can))/(1+SQRT(1+POWER(2*f_can/(m_can+n_can),2))))</f>
        <v>9.0168489800149274</v>
      </c>
      <c r="P21" s="560"/>
      <c r="Q21" s="29"/>
    </row>
    <row r="22" spans="1:20" ht="12.75" customHeight="1" thickTop="1" x14ac:dyDescent="0.2">
      <c r="A22" s="25"/>
      <c r="B22" s="139" t="str">
        <f>IF(Lang="Français","Forme",IF(Lang="English","Shape",""))</f>
        <v>Forme</v>
      </c>
      <c r="C22" s="566" t="s">
        <v>570</v>
      </c>
      <c r="D22" s="567"/>
      <c r="L22" s="108" t="str">
        <f>IF(Lang="Français","Partie masquée",IF(Lang="English","Interation zone",""))</f>
        <v>Partie masquée</v>
      </c>
      <c r="M22" s="570">
        <f>IF(LEFT(Type_masquage,1)="B", X_int-m_int+p_int*(m_int+2*n_int)/(3*(m_int+n_int))+(m_int+n_int-m_int*n_int/(m_int+n_int))/6, 0 )</f>
        <v>1820.388062409289</v>
      </c>
      <c r="N22" s="570"/>
      <c r="O22" s="589">
        <f>IF(LEFT(Type_masquage,1)="B", 4*Q_int*POWER((E_int/D_ref),2)*(1+D_int/(2*E_int+D_int))/(1+SQRT(1+POWER(2*f_int/(m_int+n_int),2))), 0 )</f>
        <v>8.8014653349765659</v>
      </c>
      <c r="P22" s="590"/>
      <c r="Q22" s="29"/>
    </row>
    <row r="23" spans="1:20" ht="12.75" customHeight="1" x14ac:dyDescent="0.2">
      <c r="A23" s="25"/>
      <c r="B23" s="139" t="str">
        <f>IF(Lang="Français","Hauteur",IF(Lang="English","Heigth",""))</f>
        <v>Hauteur</v>
      </c>
      <c r="C23" s="564">
        <v>275</v>
      </c>
      <c r="D23" s="565"/>
      <c r="L23" s="108" t="s">
        <v>156</v>
      </c>
      <c r="M23" s="553">
        <f>IF(OR(RIGHT(Nb_diam,1)=",",D2j=0),0, X_j+l_j/3*(1+1/(1+D1j/D2j)) )</f>
        <v>1275.886524822695</v>
      </c>
      <c r="N23" s="554"/>
      <c r="O23" s="560">
        <f>IF(OR(RIGHT(Nb_diam,1)=",",D2j=0),0,2*(POWER(D2j/D_ref,2)-POWER(D1j/D_ref,2)))</f>
        <v>0.695266272189349</v>
      </c>
      <c r="P23" s="560"/>
      <c r="Q23" s="29"/>
    </row>
    <row r="24" spans="1:20" ht="12.75" customHeight="1" thickBot="1" x14ac:dyDescent="0.25">
      <c r="A24" s="25"/>
      <c r="B24" s="139" t="str">
        <f>IF(Lang="Français","Diamètre",IF(Lang="English","Diameter",""))</f>
        <v>Diamètre</v>
      </c>
      <c r="C24" s="564">
        <v>84</v>
      </c>
      <c r="D24" s="565"/>
      <c r="L24" s="108" t="s">
        <v>157</v>
      </c>
      <c r="M24" s="553">
        <f>IF( OR(RIGHT(Nb_diam,1)=",",D2r=0), 0, X_r+l_r/3*(1+1/(1+D1r/D2r)) )</f>
        <v>1955.758865248227</v>
      </c>
      <c r="N24" s="554"/>
      <c r="O24" s="560">
        <f>IF( OR(RIGHT(Nb_diam,1)=",",D2r=0), 0, 2*(POWER(D2r/D_ref,2)-POWER(D1r/D_ref,2)) )</f>
        <v>-0.695266272189349</v>
      </c>
      <c r="P24" s="560"/>
      <c r="Q24" s="29"/>
    </row>
    <row r="25" spans="1:20"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0" ht="12.75" customHeight="1" thickTop="1" thickBot="1" x14ac:dyDescent="0.25">
      <c r="A26" s="25"/>
      <c r="B26" s="30"/>
      <c r="C26" s="178" t="str">
        <f>IF(LEFT(Type_masquage,1)="M",IF(Lang="Français","Ailerons","Fins"),IF(Lang="Français","Ailerons bas","Lower Fins"))</f>
        <v>Ailerons bas</v>
      </c>
      <c r="D26" s="179" t="str">
        <f>IF(Lang="Français","Ailerons haut",IF(Lang="English","Upper Fins",""))</f>
        <v>Ailerons haut</v>
      </c>
      <c r="F26" s="39">
        <f ca="1">TODAY()</f>
        <v>45862</v>
      </c>
      <c r="G26" s="137" t="s">
        <v>62</v>
      </c>
      <c r="H26" s="584" t="str">
        <f>IF(Lang="Français","Résultats",IF(Lang="English","Results",""))</f>
        <v>Résultats</v>
      </c>
      <c r="I26" s="584"/>
      <c r="J26" s="137" t="s">
        <v>63</v>
      </c>
      <c r="K26" s="32"/>
      <c r="L26" s="38"/>
      <c r="M26" s="38"/>
      <c r="N26" s="38"/>
      <c r="Q26" s="29"/>
      <c r="R26" s="38"/>
      <c r="S26" s="388" t="str">
        <f ca="1">IF(AND(Vsortie_de_rampe&lt;18, OR(LEFT(Type_fusee,1)=",",LEFT(Type_fusee,4)="Mini",LEFT(Type_fusee,1)="R")),IF(Lang="Français","Fusée trop lourde ou rampe trop courte !","Rocket too heavy or launch pad too small!"),"")</f>
        <v/>
      </c>
    </row>
    <row r="27" spans="1:20" ht="12.75" customHeight="1" thickTop="1" x14ac:dyDescent="0.2">
      <c r="A27" s="25"/>
      <c r="B27" s="30"/>
      <c r="C27" s="561" t="s">
        <v>425</v>
      </c>
      <c r="D27" s="562"/>
      <c r="E27" s="146">
        <f>m_ail</f>
        <v>190</v>
      </c>
      <c r="F27" s="105" t="s">
        <v>64</v>
      </c>
      <c r="G27" s="104">
        <f>IF(RIGHT(Type_fusee,1)=".",10, IF(OR(LEFT(Type_fusee,1)="R",LEFT(Type_fusee,1)=",",LEFT(Type_fusee,4)="Mini"),10, IF(LEFT(Type_fusee,5)="Micro",10, IF(RIGHT(Type_fusee,1)=" ",1))))</f>
        <v>10</v>
      </c>
      <c r="H27" s="551">
        <f>Long_tot/D_ref</f>
        <v>19.153846153846153</v>
      </c>
      <c r="I27" s="552"/>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0" ht="12.75" customHeight="1" x14ac:dyDescent="0.2">
      <c r="A28" s="25"/>
      <c r="B28" s="524" t="str">
        <f>IF(Lang="Français"," Emplanture  'm'",IF(Lang="English"," Root edge  'm'",""))</f>
        <v xml:space="preserve"> Emplanture  'm'</v>
      </c>
      <c r="C28" s="177">
        <v>190</v>
      </c>
      <c r="D28" s="177">
        <v>170</v>
      </c>
      <c r="E28" s="146">
        <f>n_ail+(m_ail-n_ail)*(1-E_int/E_ail)</f>
        <v>136.15384615384616</v>
      </c>
      <c r="F28" s="105" t="str">
        <f>IF(Lang="Français","Portance","Lift")</f>
        <v>Portance</v>
      </c>
      <c r="G28" s="104">
        <f>IF(RIGHT(Type_fusee,1)=".",15,IF(OR(LEFT(Type_fusee,1)="R",LEFT(Type_fusee,1)=",",LEFT(Type_fusee,4)="Mini"),15, IF(LEFT(Type_fusee,5)="Micro",15, IF(RIGHT(Type_fusee,1)=" ",15))))</f>
        <v>15</v>
      </c>
      <c r="H28" s="508">
        <f>Cnai+Cnc+Cno+Cnj+Cnr</f>
        <v>19.083886010697782</v>
      </c>
      <c r="I28" s="508">
        <f>Cnail+Cnc+Cno+Cnj+Cnr</f>
        <v>23.484618678186067</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
      </c>
    </row>
    <row r="29" spans="1:20" ht="12.75" customHeight="1" x14ac:dyDescent="0.2">
      <c r="A29" s="25"/>
      <c r="B29" s="524" t="str">
        <f>IF(Lang="Français"," Saumon       'n'",IF(Lang="English"," Tip edge    'n'",""))</f>
        <v xml:space="preserve"> Saumon       'n'</v>
      </c>
      <c r="C29" s="35">
        <v>120</v>
      </c>
      <c r="D29" s="35">
        <v>80</v>
      </c>
      <c r="E29" s="146">
        <f>p_ail*E_int/E_ail</f>
        <v>100</v>
      </c>
      <c r="F29" s="515" t="str">
        <f>IF(Lang="Français","MargeStat.","StatMargin")</f>
        <v>MargeStat.</v>
      </c>
      <c r="G29" s="510">
        <f>IF(RIGHT(Type_fusee,1)=".",2, IF(OR(LEFT(Type_fusee,1)="R",LEFT(Type_fusee,1)=",",LEFT(Type_fusee,4)="Mini"),1.5, IF(LEFT(Type_fusee,5)="Micro",1, IF(RIGHT(Type_fusee,1)=" ",1))))</f>
        <v>2</v>
      </c>
      <c r="H29" s="97">
        <f ca="1">(XCp-XcgPlein)/D_ref</f>
        <v>1.337069111928348</v>
      </c>
      <c r="I29" s="98">
        <f ca="1">(XCp0-XcgVide)/D_ref</f>
        <v>3.0792770471048923</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Abaisser les ailerons ou rehausser le CdM !</v>
      </c>
    </row>
    <row r="30" spans="1:20" ht="12.75" customHeight="1" x14ac:dyDescent="0.2">
      <c r="A30" s="25"/>
      <c r="B30" s="524" t="str">
        <f>IF(Lang="Français"," Flèche          'p'"," Offset         'p'")</f>
        <v xml:space="preserve"> Flèche          'p'</v>
      </c>
      <c r="C30" s="35">
        <v>130</v>
      </c>
      <c r="D30" s="35">
        <v>140</v>
      </c>
      <c r="E30" s="146">
        <f>IF(D_can/2+E_can&lt;=D_ail/2,0, IF(D_can/2+E_can&gt;=D_ail/2+E_ail,E_ail,  D_can/2+E_can - D_ail/2  ) )</f>
        <v>100</v>
      </c>
      <c r="F30" s="516" t="str">
        <f>IF(Lang="Français","Couple","Torque")</f>
        <v>Couple</v>
      </c>
      <c r="G30" s="511">
        <f>IF(RIGHT(Type_fusee,1)=".",40, IF(OR(LEFT(Type_fusee,1)="R",LEFT(Type_fusee,1)=",",LEFT(Type_fusee,4)="Mini"),30, IF(LEFT(Type_fusee,5)="Micro",15, IF(RIGHT(Type_fusee,1)=" ",15))))</f>
        <v>40</v>
      </c>
      <c r="H30" s="99">
        <f ca="1">MS_min*Cn</f>
        <v>25.516474520465508</v>
      </c>
      <c r="I30" s="96">
        <f ca="1">MS_max*Cn0</f>
        <v>72.315647255749184</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Ailerons trop petits ou trop haut /CdM !</v>
      </c>
    </row>
    <row r="31" spans="1:20" ht="12.75" customHeight="1" x14ac:dyDescent="0.2">
      <c r="A31" s="25"/>
      <c r="B31" s="524" t="str">
        <f>IF(Lang="Français"," Envergure     'E'",IF(Lang="English"," Span          'E'",""))</f>
        <v xml:space="preserve"> Envergure     'E'</v>
      </c>
      <c r="C31" s="35">
        <v>130</v>
      </c>
      <c r="D31" s="35">
        <v>110</v>
      </c>
      <c r="E31" s="146">
        <f>ep_ail</f>
        <v>4</v>
      </c>
      <c r="F31" s="106" t="s">
        <v>55</v>
      </c>
      <c r="G31" s="103"/>
      <c r="H31" s="509">
        <f>(Cnai*XCpai+Cnc*XCpc+Cnj*XCpj+Cnr*XCpr+Cno*XCpo)/(Cnai+Cnc+Cnr+Cnj+Cno)</f>
        <v>1284.4732921075772</v>
      </c>
      <c r="I31" s="509">
        <f>(Cnail*XCpa+Cnc*XCpc+Cnj*XCpj+Cnr*XCpr+Cno*XCpo)/(Cnail+Cnc+Cnr+Cnj+Cno)</f>
        <v>1384.8972193160212</v>
      </c>
      <c r="J31" s="102"/>
      <c r="K31" s="32"/>
      <c r="Q31" s="29"/>
      <c r="R31" s="38"/>
      <c r="S31" s="388"/>
    </row>
    <row r="32" spans="1:20" ht="12.75" customHeight="1" x14ac:dyDescent="0.2">
      <c r="A32" s="25"/>
      <c r="B32" s="525" t="str">
        <f>IF(Lang="Français"," Epaisseur     'ep'",IF(Lang="English"," Thickness  'ep'",""))</f>
        <v xml:space="preserve"> Epaisseur     'ep'</v>
      </c>
      <c r="C32" s="35">
        <v>4</v>
      </c>
      <c r="D32" s="35">
        <v>4</v>
      </c>
      <c r="E32" s="146">
        <f>IF(Q_ail=Q_can,Q_ail,FALSE)</f>
        <v>4</v>
      </c>
      <c r="F32" s="106" t="s">
        <v>66</v>
      </c>
      <c r="G32" s="103"/>
      <c r="H32" s="100">
        <f ca="1">(XCp-XcgPlein)/Long_tot*100</f>
        <v>6.980682110469286</v>
      </c>
      <c r="I32" s="101">
        <f ca="1">(XCp-XcgVide)/Long_tot*100</f>
        <v>11.035185024621729</v>
      </c>
      <c r="J32" s="102"/>
      <c r="K32" s="32"/>
      <c r="Q32" s="29"/>
      <c r="R32" s="38"/>
    </row>
    <row r="33" spans="1:23" ht="12.75" customHeight="1" x14ac:dyDescent="0.2">
      <c r="A33" s="25"/>
      <c r="B33" s="524" t="str">
        <f>IF(Lang="Français"," Nombre            ",IF(Lang="English"," Number of fins",""))</f>
        <v xml:space="preserve"> Nombre            </v>
      </c>
      <c r="C33" s="36">
        <v>4</v>
      </c>
      <c r="D33" s="36">
        <v>4</v>
      </c>
      <c r="E33" s="146">
        <f>X_ail</f>
        <v>1922</v>
      </c>
      <c r="G33" s="24"/>
      <c r="H33" s="540" t="str">
        <f ca="1">IF(AND(CritCnmin&lt;Cn,Cn0&lt;CritCnmax,CritMsmin&lt;MS_min,MS_max&lt;CritMsmax,CritMsCnmin&lt;MS_Cn_min,MS_Cn_max&lt;CritMsCnmax),"STABLE",IF(OR(Cn&lt;CritCnmin,MS_min&lt;CritMsmin,MS_Cn_min&lt;CritMsCnmin),"INSTABLE",IF(Lang="Français","SURSTABLE","OVERSTABLE")))</f>
        <v>INSTABLE</v>
      </c>
      <c r="I33" s="541"/>
      <c r="J33" s="31"/>
      <c r="K33" s="32"/>
      <c r="Q33" s="29"/>
      <c r="R33" s="38"/>
    </row>
    <row r="34" spans="1:23" ht="12.75" customHeight="1" x14ac:dyDescent="0.2">
      <c r="A34" s="25"/>
      <c r="B34" s="524" t="str">
        <f>IF(Lang="Français"," Position du bas",IF(Lang="English"," Basement",""))</f>
        <v xml:space="preserve"> Position du bas</v>
      </c>
      <c r="C34" s="35">
        <v>1922</v>
      </c>
      <c r="D34" s="35">
        <v>1035</v>
      </c>
      <c r="E34" s="146">
        <f>D_ail</f>
        <v>104</v>
      </c>
      <c r="G34" s="24"/>
      <c r="H34" s="542"/>
      <c r="I34" s="543"/>
      <c r="K34" s="32"/>
      <c r="Q34" s="29"/>
      <c r="R34" s="38"/>
    </row>
    <row r="35" spans="1:23" ht="12.75" customHeight="1" x14ac:dyDescent="0.2">
      <c r="A35" s="25"/>
      <c r="B35" s="524" t="str">
        <f>IF(Lang="Français"," Diamètre         ",IF(Lang="English"," Diameter at Fins",""))</f>
        <v xml:space="preserve"> Diamètre         </v>
      </c>
      <c r="C35" s="35">
        <v>104</v>
      </c>
      <c r="D35" s="35">
        <v>84</v>
      </c>
      <c r="E35" s="146">
        <f>SQRT(POWER(p_int+n_int/2-m_int/2,2)+POWER(E_int,2))</f>
        <v>123.85570913926631</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161.01242188104618</v>
      </c>
      <c r="D36" s="145">
        <f>SQRT(POWER(p_can+n_can/2-m_can/2,2)+POWER(E_can,2))</f>
        <v>145.34441853748632</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567</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424</v>
      </c>
      <c r="H111" s="43"/>
      <c r="I111" s="44"/>
      <c r="J111" s="43"/>
      <c r="L111" s="43"/>
      <c r="M111" s="43"/>
      <c r="N111" s="43"/>
      <c r="Q111" s="43"/>
      <c r="R111" s="43"/>
    </row>
    <row r="112" spans="2:18" x14ac:dyDescent="0.2">
      <c r="B112" s="38" t="s">
        <v>425</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-275</v>
      </c>
      <c r="D124" s="46">
        <v>0</v>
      </c>
      <c r="E124" s="93">
        <f t="shared" ref="E124:E136" si="0">-D124</f>
        <v>0</v>
      </c>
      <c r="K124" s="46"/>
    </row>
    <row r="125" spans="2:18" x14ac:dyDescent="0.2">
      <c r="B125" s="45" t="s">
        <v>72</v>
      </c>
      <c r="C125" s="46">
        <f>-Long_ogive</f>
        <v>-275</v>
      </c>
      <c r="D125" s="46">
        <f>D_og/2</f>
        <v>42</v>
      </c>
      <c r="E125" s="93">
        <f t="shared" si="0"/>
        <v>-42</v>
      </c>
      <c r="K125" s="46"/>
    </row>
    <row r="126" spans="2:18" x14ac:dyDescent="0.2">
      <c r="B126" s="45" t="s">
        <v>73</v>
      </c>
      <c r="C126" s="46">
        <f>IF(AND(RIGHT(Nb_diam,1)=".",X_j), -X_j, C125 )</f>
        <v>-1250</v>
      </c>
      <c r="D126" s="46">
        <f>IF(AND(RIGHT(Nb_diam,1)=".",X_j), D1j/2, D125 )</f>
        <v>42</v>
      </c>
      <c r="E126" s="93">
        <f t="shared" si="0"/>
        <v>-42</v>
      </c>
      <c r="K126" s="46"/>
    </row>
    <row r="127" spans="2:18" x14ac:dyDescent="0.2">
      <c r="B127" s="45" t="s">
        <v>74</v>
      </c>
      <c r="C127" s="46">
        <f>IF(AND(RIGHT(Nb_diam,1)=".",X_j), -X_j-l_j, C126 )</f>
        <v>-1300</v>
      </c>
      <c r="D127" s="46">
        <f>IF(AND(RIGHT(Nb_diam,1)=".",X_j), D2j/2, D126 )</f>
        <v>52</v>
      </c>
      <c r="E127" s="93">
        <f t="shared" si="0"/>
        <v>-52</v>
      </c>
      <c r="K127" s="46"/>
    </row>
    <row r="128" spans="2:18" x14ac:dyDescent="0.2">
      <c r="B128" s="45" t="s">
        <v>75</v>
      </c>
      <c r="C128" s="46">
        <f>IF(AND(RIGHT(Nb_diam,1)=".",X_r), -X_r, C127 )</f>
        <v>-1922</v>
      </c>
      <c r="D128" s="46">
        <f>IF(AND(RIGHT(Nb_diam,1)=".",X_r), D1r/2, D127 )</f>
        <v>52</v>
      </c>
      <c r="E128" s="93">
        <f t="shared" si="0"/>
        <v>-52</v>
      </c>
      <c r="K128" s="46"/>
    </row>
    <row r="129" spans="2:11" x14ac:dyDescent="0.2">
      <c r="B129" s="45" t="s">
        <v>76</v>
      </c>
      <c r="C129" s="46">
        <f>IF(AND(RIGHT(Nb_diam,1)=".",X_r), -X_r-l_r, C128 )</f>
        <v>-1992</v>
      </c>
      <c r="D129" s="46">
        <f>IF(AND(RIGHT(Nb_diam,1)=".",X_r), D2r/2, D128 )</f>
        <v>42</v>
      </c>
      <c r="E129" s="93">
        <f t="shared" si="0"/>
        <v>-42</v>
      </c>
      <c r="K129" s="46"/>
    </row>
    <row r="130" spans="2:11" x14ac:dyDescent="0.2">
      <c r="B130" s="45" t="s">
        <v>77</v>
      </c>
      <c r="C130" s="46">
        <f>-Long_tot</f>
        <v>-1992</v>
      </c>
      <c r="D130" s="46">
        <f>D129</f>
        <v>42</v>
      </c>
      <c r="E130" s="93">
        <f t="shared" si="0"/>
        <v>-42</v>
      </c>
      <c r="K130" s="46"/>
    </row>
    <row r="131" spans="2:11" x14ac:dyDescent="0.2">
      <c r="B131" s="45" t="s">
        <v>77</v>
      </c>
      <c r="C131" s="46">
        <f>-Long_tot</f>
        <v>-1992</v>
      </c>
      <c r="D131" s="46">
        <v>0</v>
      </c>
      <c r="E131" s="93">
        <f t="shared" si="0"/>
        <v>0</v>
      </c>
      <c r="K131" s="46"/>
    </row>
    <row r="132" spans="2:11" x14ac:dyDescent="0.2">
      <c r="B132" s="183" t="s">
        <v>78</v>
      </c>
      <c r="C132" s="197">
        <f>-X_ail+m_ail</f>
        <v>-1732</v>
      </c>
      <c r="D132" s="197">
        <f>D_ail/2</f>
        <v>52</v>
      </c>
      <c r="E132" s="198">
        <f t="shared" si="0"/>
        <v>-52</v>
      </c>
      <c r="K132" s="46"/>
    </row>
    <row r="133" spans="2:11" x14ac:dyDescent="0.2">
      <c r="B133" s="185" t="s">
        <v>79</v>
      </c>
      <c r="C133" s="46">
        <f>-X_ail+m_ail-p_ail</f>
        <v>-1862</v>
      </c>
      <c r="D133" s="46">
        <f>D_ail/2+E_ail</f>
        <v>182</v>
      </c>
      <c r="E133" s="199">
        <f t="shared" si="0"/>
        <v>-182</v>
      </c>
      <c r="K133" s="46"/>
    </row>
    <row r="134" spans="2:11" x14ac:dyDescent="0.2">
      <c r="B134" s="185" t="s">
        <v>80</v>
      </c>
      <c r="C134" s="46">
        <f>-X_ail+m_ail-p_ail-n_ail</f>
        <v>-1982</v>
      </c>
      <c r="D134" s="46">
        <f>D_ail/2+E_ail</f>
        <v>182</v>
      </c>
      <c r="E134" s="199">
        <f t="shared" si="0"/>
        <v>-182</v>
      </c>
      <c r="K134" s="46"/>
    </row>
    <row r="135" spans="2:11" x14ac:dyDescent="0.2">
      <c r="B135" s="185" t="s">
        <v>81</v>
      </c>
      <c r="C135" s="46">
        <f>-X_ail</f>
        <v>-1922</v>
      </c>
      <c r="D135" s="46">
        <f>D_ail/2</f>
        <v>52</v>
      </c>
      <c r="E135" s="199">
        <f t="shared" si="0"/>
        <v>-52</v>
      </c>
      <c r="K135" s="46"/>
    </row>
    <row r="136" spans="2:11" x14ac:dyDescent="0.2">
      <c r="B136" s="187" t="s">
        <v>78</v>
      </c>
      <c r="C136" s="200">
        <f>-X_ail+m_ail</f>
        <v>-1732</v>
      </c>
      <c r="D136" s="200">
        <f>D_ail/2</f>
        <v>52</v>
      </c>
      <c r="E136" s="201">
        <f t="shared" si="0"/>
        <v>-52</v>
      </c>
      <c r="K136" s="46"/>
    </row>
    <row r="137" spans="2:11" x14ac:dyDescent="0.2">
      <c r="B137" s="192" t="str">
        <f>IF(E_ail&gt;0,IF(Lang="Français","Envergure","Span"),"")</f>
        <v>Envergure</v>
      </c>
      <c r="C137" s="197">
        <f>MIN(-X_ail,-X_ail+m_ail-p_ail-n_ail)-Long_tot/30</f>
        <v>-2048.4</v>
      </c>
      <c r="D137" s="207">
        <f>-D_ail/2-E_ail</f>
        <v>-182</v>
      </c>
      <c r="E137" s="93"/>
      <c r="K137" s="46"/>
    </row>
    <row r="138" spans="2:11" x14ac:dyDescent="0.2">
      <c r="B138" s="195" t="s">
        <v>166</v>
      </c>
      <c r="C138" s="46">
        <f>MIN(-X_ail,-X_ail+m_ail-p_ail-n_ail)-Long_tot/30</f>
        <v>-2048.4</v>
      </c>
      <c r="D138" s="208">
        <f>-D_ail/2-E_ail/2</f>
        <v>-117</v>
      </c>
      <c r="E138" s="93"/>
      <c r="K138" s="46"/>
    </row>
    <row r="139" spans="2:11" x14ac:dyDescent="0.2">
      <c r="B139" s="212" t="s">
        <v>162</v>
      </c>
      <c r="C139" s="200">
        <f>MIN(-X_ail,-X_ail+m_ail-p_ail-n_ail)-Long_tot/30</f>
        <v>-2048.4</v>
      </c>
      <c r="D139" s="209">
        <f>-D_ail/2</f>
        <v>-52</v>
      </c>
      <c r="E139" s="93"/>
      <c r="K139" s="46"/>
    </row>
    <row r="140" spans="2:11" x14ac:dyDescent="0.2">
      <c r="B140" s="192" t="str">
        <f>IF(Lang="Français","Emplanture","Root edge")</f>
        <v>Emplanture</v>
      </c>
      <c r="C140" s="197">
        <f>-X_ail+m_ail</f>
        <v>-1732</v>
      </c>
      <c r="D140" s="207">
        <f>D_ail/2+E_ail+Long_tot/20</f>
        <v>281.60000000000002</v>
      </c>
      <c r="E140" s="93"/>
      <c r="K140" s="46"/>
    </row>
    <row r="141" spans="2:11" x14ac:dyDescent="0.2">
      <c r="B141" s="195" t="s">
        <v>168</v>
      </c>
      <c r="C141" s="46">
        <f>-X_ail+m_ail/2</f>
        <v>-1827</v>
      </c>
      <c r="D141" s="208">
        <f>D_ail/2+E_ail+Long_tot/20</f>
        <v>281.60000000000002</v>
      </c>
      <c r="E141" s="93"/>
      <c r="K141" s="46"/>
    </row>
    <row r="142" spans="2:11" x14ac:dyDescent="0.2">
      <c r="B142" s="212" t="s">
        <v>169</v>
      </c>
      <c r="C142" s="200">
        <f>-X_ail</f>
        <v>-1922</v>
      </c>
      <c r="D142" s="209">
        <f>D_ail/2+E_ail+Long_tot/20</f>
        <v>281.60000000000002</v>
      </c>
      <c r="E142" s="93"/>
      <c r="K142" s="46"/>
    </row>
    <row r="143" spans="2:11" x14ac:dyDescent="0.2">
      <c r="B143" s="192" t="str">
        <f>IF(p_ail&lt;&gt;0,IF(Lang="Français","Flèche","Offset"),"")</f>
        <v>Flèche</v>
      </c>
      <c r="C143" s="197">
        <f>-X_ail+m_ail</f>
        <v>-1732</v>
      </c>
      <c r="D143" s="207">
        <f>-D_ail/2-E_ail-Long_tot/30</f>
        <v>-248.4</v>
      </c>
      <c r="E143" s="93"/>
      <c r="K143" s="46"/>
    </row>
    <row r="144" spans="2:11" x14ac:dyDescent="0.2">
      <c r="B144" s="195" t="s">
        <v>165</v>
      </c>
      <c r="C144" s="46">
        <f>-X_ail+m_ail-p_ail/2</f>
        <v>-1797</v>
      </c>
      <c r="D144" s="208">
        <f>-D_ail/2-E_ail-Long_tot/30</f>
        <v>-248.4</v>
      </c>
      <c r="E144" s="93"/>
      <c r="K144" s="46"/>
    </row>
    <row r="145" spans="2:11" x14ac:dyDescent="0.2">
      <c r="B145" s="212" t="s">
        <v>163</v>
      </c>
      <c r="C145" s="200">
        <f>-X_ail+m_ail-p_ail</f>
        <v>-1862</v>
      </c>
      <c r="D145" s="209">
        <f>-D_ail/2-E_ail-Long_tot/30</f>
        <v>-248.4</v>
      </c>
      <c r="E145" s="93"/>
      <c r="K145" s="46"/>
    </row>
    <row r="146" spans="2:11" x14ac:dyDescent="0.2">
      <c r="B146" s="192" t="str">
        <f>IF(n_ail&gt;0,IF(Lang="Français","Saumon","Tip edge"),"")</f>
        <v>Saumon</v>
      </c>
      <c r="C146" s="197">
        <f>-X_ail+m_ail-p_ail</f>
        <v>-1862</v>
      </c>
      <c r="D146" s="207">
        <f>-D_ail/2-E_ail-Long_tot/20</f>
        <v>-281.60000000000002</v>
      </c>
      <c r="E146" s="93"/>
      <c r="K146" s="46"/>
    </row>
    <row r="147" spans="2:11" x14ac:dyDescent="0.2">
      <c r="B147" s="195" t="s">
        <v>167</v>
      </c>
      <c r="C147" s="46">
        <f>-X_ail+m_ail-p_ail-n_ail/2</f>
        <v>-1922</v>
      </c>
      <c r="D147" s="208">
        <f>-D_ail/2-E_ail-Long_tot/20</f>
        <v>-281.60000000000002</v>
      </c>
      <c r="E147" s="93"/>
      <c r="K147" s="46"/>
    </row>
    <row r="148" spans="2:11" x14ac:dyDescent="0.2">
      <c r="B148" s="212" t="s">
        <v>164</v>
      </c>
      <c r="C148" s="200">
        <f>-X_ail+m_ail-p_ail-n_ail</f>
        <v>-1982</v>
      </c>
      <c r="D148" s="209">
        <f>-D_ail/2-E_ail-Long_tot/20</f>
        <v>-281.60000000000002</v>
      </c>
      <c r="E148" s="93"/>
      <c r="K148" s="46"/>
    </row>
    <row r="149" spans="2:11" x14ac:dyDescent="0.2">
      <c r="B149" s="183" t="s">
        <v>82</v>
      </c>
      <c r="C149" s="197">
        <f ca="1">-XcgPlein</f>
        <v>-1145.418104467029</v>
      </c>
      <c r="D149" s="207">
        <v>0</v>
      </c>
      <c r="E149" s="93"/>
      <c r="K149" s="46"/>
    </row>
    <row r="150" spans="2:11" x14ac:dyDescent="0.2">
      <c r="B150" s="187" t="s">
        <v>83</v>
      </c>
      <c r="C150" s="200">
        <f ca="1">-XcgVide</f>
        <v>-1064.6524064171124</v>
      </c>
      <c r="D150" s="209">
        <v>0</v>
      </c>
      <c r="E150" s="93"/>
      <c r="K150" s="46"/>
    </row>
    <row r="151" spans="2:11" x14ac:dyDescent="0.2">
      <c r="B151" s="183" t="s">
        <v>84</v>
      </c>
      <c r="C151" s="197">
        <f>-XCp</f>
        <v>-1284.4732921075772</v>
      </c>
      <c r="D151" s="207">
        <v>0</v>
      </c>
      <c r="E151" s="93"/>
      <c r="K151" s="46"/>
    </row>
    <row r="152" spans="2:11" x14ac:dyDescent="0.2">
      <c r="B152" s="187" t="s">
        <v>84</v>
      </c>
      <c r="C152" s="200">
        <f>-XCp</f>
        <v>-1284.4732921075772</v>
      </c>
      <c r="D152" s="209">
        <f>Cn*D_ref/CritCnmin</f>
        <v>132.31494300750461</v>
      </c>
      <c r="E152" s="93"/>
      <c r="K152" s="46"/>
    </row>
    <row r="153" spans="2:11" x14ac:dyDescent="0.2">
      <c r="B153" s="185" t="s">
        <v>422</v>
      </c>
      <c r="C153" s="46">
        <f>-XCp0</f>
        <v>-1384.8972193160212</v>
      </c>
      <c r="D153" s="208">
        <f>Cn0*D_ref/CritCnmin</f>
        <v>162.82668950209006</v>
      </c>
      <c r="E153" s="93"/>
      <c r="K153" s="46"/>
    </row>
    <row r="154" spans="2:11" x14ac:dyDescent="0.2">
      <c r="B154" s="185" t="s">
        <v>422</v>
      </c>
      <c r="C154" s="46">
        <f>-XCp0</f>
        <v>-1384.8972193160212</v>
      </c>
      <c r="D154" s="208">
        <v>0</v>
      </c>
      <c r="E154" s="93"/>
      <c r="K154" s="46"/>
    </row>
    <row r="155" spans="2:11" x14ac:dyDescent="0.2">
      <c r="B155" s="192" t="str">
        <f>IF(n_ail&gt;0,IF(Lang="Français","Marge Statique","Static Margin"),"")</f>
        <v>Marge Statique</v>
      </c>
      <c r="C155" s="197">
        <f ca="1">(-XcgPlein-XcgVide)/2</f>
        <v>-1105.0352554420706</v>
      </c>
      <c r="D155" s="207">
        <f>-D_ail/2-E_ail-Long_tot/20</f>
        <v>-281.60000000000002</v>
      </c>
      <c r="E155" s="93"/>
      <c r="K155" s="46"/>
    </row>
    <row r="156" spans="2:11" x14ac:dyDescent="0.2">
      <c r="B156" s="195" t="s">
        <v>170</v>
      </c>
      <c r="C156" s="46">
        <f ca="1">(C155+C157)/2</f>
        <v>-1194.754273774824</v>
      </c>
      <c r="D156" s="208">
        <f>-D_ail/2-E_ail-Long_tot/20</f>
        <v>-281.60000000000002</v>
      </c>
      <c r="E156" s="93"/>
      <c r="K156" s="46"/>
    </row>
    <row r="157" spans="2:11" x14ac:dyDescent="0.2">
      <c r="B157" s="212" t="s">
        <v>171</v>
      </c>
      <c r="C157" s="200">
        <f>-XCp</f>
        <v>-1284.4732921075772</v>
      </c>
      <c r="D157" s="209">
        <f>-D_ail/2-E_ail-Long_tot/20</f>
        <v>-281.60000000000002</v>
      </c>
      <c r="E157" s="93"/>
      <c r="K157" s="46"/>
    </row>
    <row r="158" spans="2:11" x14ac:dyDescent="0.2">
      <c r="B158" s="183" t="s">
        <v>85</v>
      </c>
      <c r="C158" s="197">
        <f>IF(LEFT(Type_masquage,1)="M",0,-X_can+m_can)</f>
        <v>-865</v>
      </c>
      <c r="D158" s="197">
        <f>IF(LEFT(Type_masquage,1)="M",0,D_ail/2)</f>
        <v>52</v>
      </c>
      <c r="E158" s="198">
        <f t="shared" ref="E158:E167" si="1">-D158</f>
        <v>-52</v>
      </c>
      <c r="K158" s="46"/>
    </row>
    <row r="159" spans="2:11" x14ac:dyDescent="0.2">
      <c r="B159" s="185" t="s">
        <v>86</v>
      </c>
      <c r="C159" s="46">
        <f>IF(LEFT(Type_masquage,1)="M",0,-X_can+m_can-p_can)</f>
        <v>-1005</v>
      </c>
      <c r="D159" s="46">
        <f>IF(LEFT(Type_masquage,1)="M",0,D_ail/2+E_can)</f>
        <v>162</v>
      </c>
      <c r="E159" s="199">
        <f t="shared" si="1"/>
        <v>-162</v>
      </c>
      <c r="K159" s="46"/>
    </row>
    <row r="160" spans="2:11" x14ac:dyDescent="0.2">
      <c r="B160" s="185" t="s">
        <v>87</v>
      </c>
      <c r="C160" s="46">
        <f>IF(LEFT(Type_masquage,1)="M",0,-X_can+m_can-p_can-n_can)</f>
        <v>-1085</v>
      </c>
      <c r="D160" s="46">
        <f>IF(LEFT(Type_masquage,1)="M",0,D_ail/2+E_can)</f>
        <v>162</v>
      </c>
      <c r="E160" s="199">
        <f t="shared" si="1"/>
        <v>-162</v>
      </c>
      <c r="K160" s="46"/>
    </row>
    <row r="161" spans="2:11" x14ac:dyDescent="0.2">
      <c r="B161" s="185" t="s">
        <v>88</v>
      </c>
      <c r="C161" s="46">
        <f>IF(LEFT(Type_masquage,1)="M",0,-X_can)</f>
        <v>-1035</v>
      </c>
      <c r="D161" s="46">
        <f>IF(LEFT(Type_masquage,1)="M",0,D_ail/2)</f>
        <v>52</v>
      </c>
      <c r="E161" s="199">
        <f t="shared" si="1"/>
        <v>-52</v>
      </c>
      <c r="K161" s="46"/>
    </row>
    <row r="162" spans="2:11" x14ac:dyDescent="0.2">
      <c r="B162" s="187" t="s">
        <v>85</v>
      </c>
      <c r="C162" s="200">
        <f>IF(LEFT(Type_masquage,1)="M",0,-X_can+m_can)</f>
        <v>-865</v>
      </c>
      <c r="D162" s="200">
        <f>IF(LEFT(Type_masquage,1)="M",0,D_ail/2)</f>
        <v>52</v>
      </c>
      <c r="E162" s="201">
        <f t="shared" si="1"/>
        <v>-52</v>
      </c>
      <c r="K162" s="46"/>
    </row>
    <row r="163" spans="2:11" x14ac:dyDescent="0.2">
      <c r="B163" s="183" t="s">
        <v>89</v>
      </c>
      <c r="C163" s="197">
        <f>IF(LEFT(Type_masquage,1)="B",-X_int+m_int,0)</f>
        <v>-1732</v>
      </c>
      <c r="D163" s="197">
        <f>IF(LEFT(Type_masquage,1)="B",D_int/2,0)</f>
        <v>52</v>
      </c>
      <c r="E163" s="198">
        <f t="shared" si="1"/>
        <v>-52</v>
      </c>
      <c r="K163" s="46"/>
    </row>
    <row r="164" spans="2:11" x14ac:dyDescent="0.2">
      <c r="B164" s="185" t="s">
        <v>90</v>
      </c>
      <c r="C164" s="46">
        <f>IF(LEFT(Type_masquage,1)="B",-X_int+m_int-p_int,0)</f>
        <v>-1832</v>
      </c>
      <c r="D164" s="46">
        <f>IF(LEFT(Type_masquage,1)="B",D_int/2+E_int,0)</f>
        <v>152</v>
      </c>
      <c r="E164" s="199">
        <f t="shared" si="1"/>
        <v>-152</v>
      </c>
      <c r="K164" s="46"/>
    </row>
    <row r="165" spans="2:11" x14ac:dyDescent="0.2">
      <c r="B165" s="185" t="s">
        <v>91</v>
      </c>
      <c r="C165" s="46">
        <f>IF(LEFT(Type_masquage,1)="B",-X_int+m_int-p_int-n_int,0)</f>
        <v>-1968.1538461538462</v>
      </c>
      <c r="D165" s="46">
        <f>IF(LEFT(Type_masquage,1)="B",D_int/2+E_int,0)</f>
        <v>152</v>
      </c>
      <c r="E165" s="199">
        <f t="shared" si="1"/>
        <v>-152</v>
      </c>
      <c r="K165" s="46"/>
    </row>
    <row r="166" spans="2:11" x14ac:dyDescent="0.2">
      <c r="B166" s="185" t="s">
        <v>92</v>
      </c>
      <c r="C166" s="46">
        <f>IF(LEFT(Type_masquage,1)="B",-X_int,0)</f>
        <v>-1922</v>
      </c>
      <c r="D166" s="46">
        <f>IF(LEFT(Type_masquage,1)="B",D_int/2,0)</f>
        <v>52</v>
      </c>
      <c r="E166" s="199">
        <f t="shared" si="1"/>
        <v>-52</v>
      </c>
      <c r="K166" s="46"/>
    </row>
    <row r="167" spans="2:11" x14ac:dyDescent="0.2">
      <c r="B167" s="187" t="s">
        <v>89</v>
      </c>
      <c r="C167" s="200">
        <f>IF(LEFT(Type_masquage,1)="B",-X_int+m_int,0)</f>
        <v>-1732</v>
      </c>
      <c r="D167" s="200">
        <f>IF(LEFT(Type_masquage,1)="B",D_int/2,0)</f>
        <v>52</v>
      </c>
      <c r="E167" s="201">
        <f t="shared" si="1"/>
        <v>-52</v>
      </c>
      <c r="K167" s="46"/>
    </row>
    <row r="168" spans="2:11" x14ac:dyDescent="0.2">
      <c r="B168" s="45" t="s">
        <v>93</v>
      </c>
      <c r="C168" s="46">
        <f>-MAX(Long_tot, X_ail-m_ail+p_ail+n_ail, (E_ail+D_ail/2)*3.2)*1.01</f>
        <v>-2011.92</v>
      </c>
      <c r="D168" s="46">
        <f>MAX(E_ail+D_ail/2, Long_tot/3)</f>
        <v>664</v>
      </c>
      <c r="E168" s="93"/>
      <c r="K168" s="46"/>
    </row>
    <row r="169" spans="2:11" x14ac:dyDescent="0.2">
      <c r="B169" s="45" t="s">
        <v>93</v>
      </c>
      <c r="C169" s="46">
        <f>C168</f>
        <v>-2011.92</v>
      </c>
      <c r="D169" s="46">
        <f>-D168</f>
        <v>-664</v>
      </c>
      <c r="E169" s="93"/>
      <c r="K169" s="46"/>
    </row>
    <row r="170" spans="2:11" x14ac:dyDescent="0.2">
      <c r="B170" s="183" t="s">
        <v>94</v>
      </c>
      <c r="C170" s="197">
        <f ca="1">-XpropuRef+Long_propu</f>
        <v>-1504</v>
      </c>
      <c r="D170" s="207">
        <f ca="1">-Diam_propu/2</f>
        <v>-27</v>
      </c>
      <c r="E170" s="93"/>
      <c r="K170" s="46"/>
    </row>
    <row r="171" spans="2:11" x14ac:dyDescent="0.2">
      <c r="B171" s="185" t="s">
        <v>95</v>
      </c>
      <c r="C171" s="46">
        <f ca="1">-XpropuRef+Long_propu</f>
        <v>-1504</v>
      </c>
      <c r="D171" s="208">
        <f ca="1">Diam_propu/2</f>
        <v>27</v>
      </c>
      <c r="E171" s="93"/>
      <c r="K171" s="46"/>
    </row>
    <row r="172" spans="2:11" x14ac:dyDescent="0.2">
      <c r="B172" s="185" t="s">
        <v>96</v>
      </c>
      <c r="C172" s="46">
        <f>-XpropuRef</f>
        <v>-1992</v>
      </c>
      <c r="D172" s="208">
        <f ca="1">Diam_propu/2</f>
        <v>27</v>
      </c>
      <c r="E172" s="93"/>
      <c r="K172" s="46"/>
    </row>
    <row r="173" spans="2:11" x14ac:dyDescent="0.2">
      <c r="B173" s="185" t="s">
        <v>97</v>
      </c>
      <c r="C173" s="46">
        <f>-XpropuRef</f>
        <v>-1992</v>
      </c>
      <c r="D173" s="208">
        <f ca="1">-Diam_propu/2</f>
        <v>-27</v>
      </c>
      <c r="E173" s="93"/>
      <c r="K173" s="46"/>
    </row>
    <row r="174" spans="2:11" x14ac:dyDescent="0.2">
      <c r="B174" s="187" t="s">
        <v>98</v>
      </c>
      <c r="C174" s="200">
        <f ca="1">-XpropuRef+Long_propu</f>
        <v>-1504</v>
      </c>
      <c r="D174" s="209">
        <f ca="1">-Diam_propu/2</f>
        <v>-27</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-27.5</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-68.75</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-137.5</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-206.25</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-275</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80</v>
      </c>
      <c r="K182" s="45"/>
    </row>
    <row r="183" spans="2:11" x14ac:dyDescent="0.2">
      <c r="B183" s="187">
        <v>7</v>
      </c>
      <c r="C183" s="196">
        <f>CritCnmin</f>
        <v>15</v>
      </c>
      <c r="D183" s="185">
        <v>1</v>
      </c>
      <c r="E183" s="205">
        <f t="shared" si="3"/>
        <v>40</v>
      </c>
      <c r="K183" s="45"/>
    </row>
    <row r="184" spans="2:11" x14ac:dyDescent="0.2">
      <c r="B184" s="183">
        <v>0</v>
      </c>
      <c r="C184" s="202">
        <f>CritCnmax</f>
        <v>40</v>
      </c>
      <c r="D184" s="185">
        <v>2</v>
      </c>
      <c r="E184" s="205">
        <f t="shared" si="3"/>
        <v>20</v>
      </c>
      <c r="K184" s="45"/>
    </row>
    <row r="185" spans="2:11" x14ac:dyDescent="0.2">
      <c r="B185" s="187">
        <v>7</v>
      </c>
      <c r="C185" s="196">
        <f>CritCnmax</f>
        <v>40</v>
      </c>
      <c r="D185" s="185">
        <v>3</v>
      </c>
      <c r="E185" s="205">
        <f t="shared" si="3"/>
        <v>13.333333333333334</v>
      </c>
      <c r="K185" s="45"/>
    </row>
    <row r="186" spans="2:11" x14ac:dyDescent="0.2">
      <c r="B186" s="183">
        <f>CritMsmin</f>
        <v>2</v>
      </c>
      <c r="C186" s="202">
        <v>0</v>
      </c>
      <c r="D186" s="185">
        <v>5</v>
      </c>
      <c r="E186" s="205">
        <f t="shared" si="3"/>
        <v>8</v>
      </c>
      <c r="K186" s="45"/>
    </row>
    <row r="187" spans="2:11" x14ac:dyDescent="0.2">
      <c r="B187" s="187">
        <f>CritMsmin</f>
        <v>2</v>
      </c>
      <c r="C187" s="196">
        <v>55</v>
      </c>
      <c r="D187" s="185">
        <v>7</v>
      </c>
      <c r="E187" s="205">
        <f t="shared" si="3"/>
        <v>5.7142857142857144</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1.337069111928348</v>
      </c>
      <c r="C190" s="203">
        <f>Cn</f>
        <v>19.083886010697782</v>
      </c>
      <c r="D190" s="185">
        <v>3</v>
      </c>
      <c r="E190" s="205">
        <f t="shared" si="4"/>
        <v>33.333333333333336</v>
      </c>
      <c r="K190" s="45"/>
    </row>
    <row r="191" spans="2:11" x14ac:dyDescent="0.2">
      <c r="B191" s="512">
        <f ca="1">(XCp0-XcgPlein)/D_ref</f>
        <v>2.3026837966249243</v>
      </c>
      <c r="C191" s="513">
        <f>Cn0</f>
        <v>23.484618678186067</v>
      </c>
      <c r="D191" s="185">
        <v>4</v>
      </c>
      <c r="E191" s="205">
        <f t="shared" si="4"/>
        <v>25</v>
      </c>
      <c r="K191" s="45"/>
    </row>
    <row r="192" spans="2:11" x14ac:dyDescent="0.2">
      <c r="B192" s="512">
        <f ca="1">(XCp0-XcgVide)/D_ref</f>
        <v>3.0792770471048923</v>
      </c>
      <c r="C192" s="513">
        <f>Cn0</f>
        <v>23.484618678186067</v>
      </c>
      <c r="D192" s="185">
        <v>6</v>
      </c>
      <c r="E192" s="205">
        <f t="shared" si="4"/>
        <v>16.666666666666668</v>
      </c>
      <c r="K192" s="45"/>
    </row>
    <row r="193" spans="2:11" x14ac:dyDescent="0.2">
      <c r="B193" s="512">
        <f ca="1">(XCp-XcgVide)/D_ref</f>
        <v>2.1136623624083155</v>
      </c>
      <c r="C193" s="513">
        <f>Cn</f>
        <v>19.083886010697782</v>
      </c>
      <c r="D193" s="187">
        <v>7</v>
      </c>
      <c r="E193" s="206">
        <f t="shared" si="4"/>
        <v>14.285714285714286</v>
      </c>
      <c r="K193" s="45"/>
    </row>
    <row r="194" spans="2:11" x14ac:dyDescent="0.2">
      <c r="B194" s="512">
        <f ca="1">MS_min</f>
        <v>1.337069111928348</v>
      </c>
      <c r="C194" s="514">
        <f>Cn</f>
        <v>19.083886010697782</v>
      </c>
      <c r="D194" s="45"/>
      <c r="E194" s="92"/>
      <c r="K194" s="45"/>
    </row>
    <row r="195" spans="2:11" x14ac:dyDescent="0.2">
      <c r="B195" s="183">
        <v>0</v>
      </c>
      <c r="C195" s="202">
        <f>(CritCnmin+CritCnmax)/2</f>
        <v>27.5</v>
      </c>
      <c r="D195" s="26"/>
      <c r="E195" s="90"/>
      <c r="K195" s="26"/>
    </row>
    <row r="196" spans="2:11" x14ac:dyDescent="0.2">
      <c r="B196" s="185">
        <f>MAX(CritMsmin,CritMsCnmin/C196)</f>
        <v>2</v>
      </c>
      <c r="C196" s="45">
        <f>(CritCnmin+CritCnmax)/2</f>
        <v>27.5</v>
      </c>
      <c r="D196" s="26"/>
      <c r="E196" s="90"/>
      <c r="K196" s="26"/>
    </row>
    <row r="197" spans="2:11" x14ac:dyDescent="0.2">
      <c r="B197" s="185">
        <f>MIN(CritMsmax,CritMsCnmax/C197)</f>
        <v>3.6363636363636362</v>
      </c>
      <c r="C197" s="189">
        <f>(CritCnmin+CritCnmax)/2</f>
        <v>27.5</v>
      </c>
    </row>
    <row r="198" spans="2:11" x14ac:dyDescent="0.2">
      <c r="B198" s="187">
        <v>7</v>
      </c>
      <c r="C198" s="190">
        <f>(CritCnmin+CritCnmax)/2</f>
        <v>27.5</v>
      </c>
    </row>
    <row r="199" spans="2:11" x14ac:dyDescent="0.2">
      <c r="B199" s="183">
        <f>(CritMsmin+CritMsmax)/2</f>
        <v>4</v>
      </c>
      <c r="C199" s="184">
        <v>0</v>
      </c>
    </row>
    <row r="200" spans="2:11" x14ac:dyDescent="0.2">
      <c r="B200" s="185">
        <f>(CritMsmin+CritMsmax)/2</f>
        <v>4</v>
      </c>
      <c r="C200" s="186">
        <f>MAX(CritCnmin,CritMsCnmin/B200)</f>
        <v>15</v>
      </c>
    </row>
    <row r="201" spans="2:11" x14ac:dyDescent="0.2">
      <c r="B201" s="185">
        <f>(CritMsmin+CritMsmax)/2</f>
        <v>4</v>
      </c>
      <c r="C201" s="186">
        <f>MIN(CritCnmax,CritMsCnmax/B201)</f>
        <v>25</v>
      </c>
    </row>
    <row r="202" spans="2:11" x14ac:dyDescent="0.2">
      <c r="B202" s="187">
        <f>(CritMsmin+CritMsmax)/2</f>
        <v>4</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1</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463</v>
      </c>
    </row>
    <row r="226" spans="1:1" x14ac:dyDescent="0.2">
      <c r="A226" s="24" t="s">
        <v>476</v>
      </c>
    </row>
    <row r="228" spans="1:1" x14ac:dyDescent="0.2">
      <c r="A228" s="24" t="s">
        <v>477</v>
      </c>
    </row>
    <row r="230" spans="1:1" x14ac:dyDescent="0.2">
      <c r="A230" s="24" t="s">
        <v>478</v>
      </c>
    </row>
    <row r="232" spans="1:1" x14ac:dyDescent="0.2">
      <c r="A232" s="24" t="s">
        <v>479</v>
      </c>
    </row>
    <row r="233" spans="1:1" x14ac:dyDescent="0.2">
      <c r="A233" s="24" t="s">
        <v>480</v>
      </c>
    </row>
    <row r="234" spans="1:1" x14ac:dyDescent="0.2">
      <c r="A234" s="24" t="s">
        <v>481</v>
      </c>
    </row>
    <row r="235" spans="1:1" x14ac:dyDescent="0.2">
      <c r="A235" s="24" t="s">
        <v>482</v>
      </c>
    </row>
    <row r="236" spans="1:1" x14ac:dyDescent="0.2">
      <c r="A236" s="24" t="s">
        <v>483</v>
      </c>
    </row>
    <row r="237" spans="1:1" x14ac:dyDescent="0.2">
      <c r="A237" s="24" t="s">
        <v>484</v>
      </c>
    </row>
    <row r="238" spans="1:1" x14ac:dyDescent="0.2">
      <c r="A238" s="24" t="s">
        <v>183</v>
      </c>
    </row>
    <row r="239" spans="1:1" x14ac:dyDescent="0.2">
      <c r="A239" s="24" t="s">
        <v>485</v>
      </c>
    </row>
    <row r="240" spans="1:1" x14ac:dyDescent="0.2">
      <c r="A240" s="24" t="s">
        <v>486</v>
      </c>
    </row>
    <row r="241" spans="1:1" x14ac:dyDescent="0.2">
      <c r="A241" s="24" t="s">
        <v>183</v>
      </c>
    </row>
    <row r="242" spans="1:1" x14ac:dyDescent="0.2">
      <c r="A242" s="24" t="s">
        <v>487</v>
      </c>
    </row>
    <row r="244" spans="1:1" x14ac:dyDescent="0.2">
      <c r="A244" s="24" t="s">
        <v>488</v>
      </c>
    </row>
    <row r="246" spans="1:1" x14ac:dyDescent="0.2">
      <c r="A246" s="24" t="s">
        <v>489</v>
      </c>
    </row>
    <row r="248" spans="1:1" x14ac:dyDescent="0.2">
      <c r="A248" s="24" t="s">
        <v>490</v>
      </c>
    </row>
    <row r="249" spans="1:1" x14ac:dyDescent="0.2">
      <c r="A249" s="24" t="s">
        <v>491</v>
      </c>
    </row>
    <row r="250" spans="1:1" x14ac:dyDescent="0.2">
      <c r="A250" s="24" t="s">
        <v>492</v>
      </c>
    </row>
    <row r="251" spans="1:1" x14ac:dyDescent="0.2">
      <c r="A251" s="24" t="s">
        <v>493</v>
      </c>
    </row>
    <row r="252" spans="1:1" x14ac:dyDescent="0.2">
      <c r="A252" s="24" t="s">
        <v>494</v>
      </c>
    </row>
    <row r="254" spans="1:1" x14ac:dyDescent="0.2">
      <c r="A254" s="24" t="s">
        <v>495</v>
      </c>
    </row>
    <row r="255" spans="1:1" x14ac:dyDescent="0.2">
      <c r="A255" s="24" t="s">
        <v>496</v>
      </c>
    </row>
    <row r="256" spans="1:1" x14ac:dyDescent="0.2">
      <c r="A256" s="24" t="s">
        <v>497</v>
      </c>
    </row>
    <row r="257" spans="1:1" x14ac:dyDescent="0.2">
      <c r="A257" s="24" t="s">
        <v>498</v>
      </c>
    </row>
    <row r="258" spans="1:1" x14ac:dyDescent="0.2">
      <c r="A258" s="24" t="s">
        <v>499</v>
      </c>
    </row>
    <row r="261" spans="1:1" x14ac:dyDescent="0.2">
      <c r="A261" s="24" t="s">
        <v>500</v>
      </c>
    </row>
    <row r="262" spans="1:1" x14ac:dyDescent="0.2">
      <c r="A262" s="24" t="s">
        <v>501</v>
      </c>
    </row>
    <row r="263" spans="1:1" x14ac:dyDescent="0.2">
      <c r="A263" s="24" t="s">
        <v>502</v>
      </c>
    </row>
    <row r="264" spans="1:1" x14ac:dyDescent="0.2">
      <c r="A264" s="24" t="s">
        <v>503</v>
      </c>
    </row>
    <row r="265" spans="1:1" x14ac:dyDescent="0.2">
      <c r="A265" s="24" t="s">
        <v>504</v>
      </c>
    </row>
    <row r="267" spans="1:1" x14ac:dyDescent="0.2">
      <c r="A267" s="24" t="s">
        <v>497</v>
      </c>
    </row>
    <row r="268" spans="1:1" x14ac:dyDescent="0.2">
      <c r="A268" s="24" t="s">
        <v>498</v>
      </c>
    </row>
    <row r="269" spans="1:1" x14ac:dyDescent="0.2">
      <c r="A269" s="24" t="s">
        <v>505</v>
      </c>
    </row>
    <row r="272" spans="1:1" x14ac:dyDescent="0.2">
      <c r="A272" s="24" t="s">
        <v>465</v>
      </c>
    </row>
    <row r="273" spans="1:1" x14ac:dyDescent="0.2">
      <c r="A273" s="24" t="s">
        <v>466</v>
      </c>
    </row>
    <row r="275" spans="1:1" x14ac:dyDescent="0.2">
      <c r="A275" s="24" t="s">
        <v>506</v>
      </c>
    </row>
    <row r="277" spans="1:1" x14ac:dyDescent="0.2">
      <c r="A277" s="24" t="s">
        <v>505</v>
      </c>
    </row>
    <row r="280" spans="1:1" x14ac:dyDescent="0.2">
      <c r="A280" s="24" t="s">
        <v>467</v>
      </c>
    </row>
    <row r="281" spans="1:1" x14ac:dyDescent="0.2">
      <c r="A281" s="24" t="s">
        <v>468</v>
      </c>
    </row>
    <row r="282" spans="1:1" x14ac:dyDescent="0.2">
      <c r="A282" s="24" t="s">
        <v>507</v>
      </c>
    </row>
    <row r="283" spans="1:1" x14ac:dyDescent="0.2">
      <c r="A283" s="24" t="s">
        <v>508</v>
      </c>
    </row>
    <row r="284" spans="1:1" x14ac:dyDescent="0.2">
      <c r="A284" s="24" t="s">
        <v>505</v>
      </c>
    </row>
    <row r="285" spans="1:1" x14ac:dyDescent="0.2">
      <c r="A285" s="24" t="s">
        <v>469</v>
      </c>
    </row>
    <row r="287" spans="1:1" x14ac:dyDescent="0.2">
      <c r="A287" s="24" t="s">
        <v>509</v>
      </c>
    </row>
    <row r="288" spans="1:1" x14ac:dyDescent="0.2">
      <c r="A288" s="24" t="s">
        <v>507</v>
      </c>
    </row>
    <row r="289" spans="1:1" x14ac:dyDescent="0.2">
      <c r="A289" s="24" t="s">
        <v>510</v>
      </c>
    </row>
    <row r="291" spans="1:1" x14ac:dyDescent="0.2">
      <c r="A291" s="24" t="s">
        <v>505</v>
      </c>
    </row>
    <row r="294" spans="1:1" x14ac:dyDescent="0.2">
      <c r="A294" s="24" t="s">
        <v>511</v>
      </c>
    </row>
    <row r="295" spans="1:1" x14ac:dyDescent="0.2">
      <c r="A295" s="24" t="s">
        <v>512</v>
      </c>
    </row>
    <row r="296" spans="1:1" x14ac:dyDescent="0.2">
      <c r="A296" s="24" t="s">
        <v>513</v>
      </c>
    </row>
    <row r="298" spans="1:1" x14ac:dyDescent="0.2">
      <c r="A298" s="24" t="s">
        <v>505</v>
      </c>
    </row>
    <row r="301" spans="1:1" x14ac:dyDescent="0.2">
      <c r="A301" s="24" t="s">
        <v>514</v>
      </c>
    </row>
    <row r="302" spans="1:1" x14ac:dyDescent="0.2">
      <c r="A302" s="24" t="s">
        <v>515</v>
      </c>
    </row>
    <row r="304" spans="1:1" x14ac:dyDescent="0.2">
      <c r="A304" s="24" t="s">
        <v>516</v>
      </c>
    </row>
    <row r="305" spans="1:1" x14ac:dyDescent="0.2">
      <c r="A305" s="24" t="s">
        <v>517</v>
      </c>
    </row>
    <row r="306" spans="1:1" x14ac:dyDescent="0.2">
      <c r="A306" s="24" t="s">
        <v>505</v>
      </c>
    </row>
    <row r="309" spans="1:1" x14ac:dyDescent="0.2">
      <c r="A309" s="24" t="s">
        <v>514</v>
      </c>
    </row>
    <row r="310" spans="1:1" x14ac:dyDescent="0.2">
      <c r="A310" s="24" t="s">
        <v>518</v>
      </c>
    </row>
    <row r="311" spans="1:1" x14ac:dyDescent="0.2">
      <c r="A311" s="24" t="s">
        <v>514</v>
      </c>
    </row>
    <row r="312" spans="1:1" x14ac:dyDescent="0.2">
      <c r="A312" s="24" t="s">
        <v>519</v>
      </c>
    </row>
    <row r="314" spans="1:1" x14ac:dyDescent="0.2">
      <c r="A314" s="24" t="s">
        <v>520</v>
      </c>
    </row>
    <row r="316" spans="1:1" x14ac:dyDescent="0.2">
      <c r="A316" s="24" t="s">
        <v>505</v>
      </c>
    </row>
    <row r="319" spans="1:1" x14ac:dyDescent="0.2">
      <c r="A319" s="24" t="s">
        <v>514</v>
      </c>
    </row>
    <row r="320" spans="1:1" x14ac:dyDescent="0.2">
      <c r="A320" s="24" t="s">
        <v>521</v>
      </c>
    </row>
    <row r="321" spans="1:1" x14ac:dyDescent="0.2">
      <c r="A321" s="24" t="s">
        <v>522</v>
      </c>
    </row>
    <row r="322" spans="1:1" x14ac:dyDescent="0.2">
      <c r="A322" s="24" t="s">
        <v>523</v>
      </c>
    </row>
    <row r="324" spans="1:1" x14ac:dyDescent="0.2">
      <c r="A324" s="24" t="s">
        <v>505</v>
      </c>
    </row>
    <row r="326" spans="1:1" x14ac:dyDescent="0.2">
      <c r="A326" s="24" t="s">
        <v>464</v>
      </c>
    </row>
    <row r="329" spans="1:1" x14ac:dyDescent="0.2">
      <c r="A329" s="24" t="s">
        <v>470</v>
      </c>
    </row>
    <row r="330" spans="1:1" x14ac:dyDescent="0.2">
      <c r="A330" s="24" t="s">
        <v>471</v>
      </c>
    </row>
    <row r="331" spans="1:1" x14ac:dyDescent="0.2">
      <c r="A331" s="24" t="s">
        <v>524</v>
      </c>
    </row>
    <row r="332" spans="1:1" x14ac:dyDescent="0.2">
      <c r="A332" s="24" t="s">
        <v>525</v>
      </c>
    </row>
    <row r="333" spans="1:1" x14ac:dyDescent="0.2">
      <c r="A333" s="24" t="s">
        <v>526</v>
      </c>
    </row>
    <row r="334" spans="1:1" x14ac:dyDescent="0.2">
      <c r="A334" s="24" t="s">
        <v>527</v>
      </c>
    </row>
    <row r="335" spans="1:1" x14ac:dyDescent="0.2">
      <c r="A335" s="24" t="s">
        <v>528</v>
      </c>
    </row>
    <row r="336" spans="1:1" x14ac:dyDescent="0.2">
      <c r="A336" s="24" t="s">
        <v>481</v>
      </c>
    </row>
    <row r="337" spans="1:1" x14ac:dyDescent="0.2">
      <c r="A337" s="24" t="s">
        <v>472</v>
      </c>
    </row>
    <row r="340" spans="1:1" x14ac:dyDescent="0.2">
      <c r="A340" s="24" t="s">
        <v>473</v>
      </c>
    </row>
    <row r="342" spans="1:1" x14ac:dyDescent="0.2">
      <c r="A342" s="24" t="s">
        <v>529</v>
      </c>
    </row>
    <row r="343" spans="1:1" x14ac:dyDescent="0.2">
      <c r="A343" s="24" t="s">
        <v>530</v>
      </c>
    </row>
    <row r="344" spans="1:1" x14ac:dyDescent="0.2">
      <c r="A344" s="24" t="s">
        <v>531</v>
      </c>
    </row>
    <row r="345" spans="1:1" x14ac:dyDescent="0.2">
      <c r="A345" s="24" t="s">
        <v>532</v>
      </c>
    </row>
    <row r="346" spans="1:1" x14ac:dyDescent="0.2">
      <c r="A346" s="24" t="s">
        <v>533</v>
      </c>
    </row>
    <row r="347" spans="1:1" x14ac:dyDescent="0.2">
      <c r="A347" s="24" t="s">
        <v>481</v>
      </c>
    </row>
    <row r="348" spans="1:1" x14ac:dyDescent="0.2">
      <c r="A348" s="24" t="s">
        <v>474</v>
      </c>
    </row>
    <row r="349" spans="1:1" x14ac:dyDescent="0.2">
      <c r="A349" s="24" t="s">
        <v>534</v>
      </c>
    </row>
    <row r="350" spans="1:1" x14ac:dyDescent="0.2">
      <c r="A350" s="24" t="s">
        <v>535</v>
      </c>
    </row>
    <row r="352" spans="1:1" x14ac:dyDescent="0.2">
      <c r="A352" s="24" t="s">
        <v>505</v>
      </c>
    </row>
    <row r="355" spans="1:1" x14ac:dyDescent="0.2">
      <c r="A355" s="24" t="s">
        <v>464</v>
      </c>
    </row>
    <row r="361" spans="1:1" x14ac:dyDescent="0.2">
      <c r="A361" s="24" t="s">
        <v>475</v>
      </c>
    </row>
  </sheetData>
  <sheetProtection algorithmName="SHA-512" hashValue="lr7AUTmqQKWCln9lxU/pkY39SNhSvguOSf0niYW80GvK2cC/MbUIRDjvwd1bIGz8aqjd6a7y3D66efnX6zcc6g==" saltValue="kioZ43ZFarxjOdpvjH0yzw==" spinCount="100000" sheet="1" objects="1" scenarios="1"/>
  <dataConsolidate/>
  <mergeCells count="56">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27:D27"/>
    <mergeCell ref="C19:D19"/>
    <mergeCell ref="C20:D20"/>
    <mergeCell ref="O23:P23"/>
    <mergeCell ref="O24:P24"/>
    <mergeCell ref="C23:D23"/>
    <mergeCell ref="C22:D22"/>
    <mergeCell ref="C24:D24"/>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zoomScaleNormal="100" workbookViewId="0">
      <selection activeCell="J52" sqref="J52"/>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598" t="s">
        <v>0</v>
      </c>
      <c r="D2" s="598"/>
      <c r="F2" s="3"/>
      <c r="J2" s="4"/>
      <c r="N2" s="57"/>
    </row>
    <row r="3" spans="1:14" ht="12.75" customHeight="1" x14ac:dyDescent="0.2">
      <c r="A3" s="56"/>
      <c r="B3" s="2"/>
      <c r="C3" s="598"/>
      <c r="D3" s="598"/>
      <c r="H3" s="5"/>
      <c r="J3" s="4"/>
      <c r="N3" s="57"/>
    </row>
    <row r="4" spans="1:14" ht="12.75" customHeight="1" x14ac:dyDescent="0.2">
      <c r="A4" s="56"/>
      <c r="B4" s="2"/>
      <c r="C4" s="603" t="str">
        <f>IF(Lang="Français","Trajectographie de fusée",IF(Lang="English","Rocket Trajectography",""))</f>
        <v>Trajectographie de fusée</v>
      </c>
      <c r="D4" s="603"/>
      <c r="H4" s="5"/>
      <c r="J4" s="4"/>
      <c r="N4" s="57"/>
    </row>
    <row r="5" spans="1:14" ht="12.75" customHeight="1" x14ac:dyDescent="0.2">
      <c r="A5" s="56"/>
      <c r="B5" s="2"/>
      <c r="C5" s="597"/>
      <c r="D5" s="597"/>
      <c r="J5" s="4"/>
      <c r="N5" s="57"/>
    </row>
    <row r="6" spans="1:14" ht="12.95" customHeight="1" x14ac:dyDescent="0.2">
      <c r="A6" s="56"/>
      <c r="B6" s="87"/>
      <c r="C6" s="602" t="str">
        <f>IF(Lang="Français","Remplir les cases jaunes",IF(Lang="English","Fill-in yellow cells only",""))</f>
        <v>Remplir les cases jaunes</v>
      </c>
      <c r="D6" s="602"/>
      <c r="J6" s="4"/>
      <c r="N6" s="57"/>
    </row>
    <row r="7" spans="1:14" x14ac:dyDescent="0.2">
      <c r="A7" s="56"/>
      <c r="B7" s="6"/>
      <c r="C7" s="599" t="str">
        <f>IF(Lang="Français","Fusée",IF(Lang="English","Rocket",""))</f>
        <v>Fusée</v>
      </c>
      <c r="D7" s="599"/>
      <c r="N7" s="58"/>
    </row>
    <row r="8" spans="1:14" ht="12.75" customHeight="1" x14ac:dyDescent="0.25">
      <c r="A8" s="56"/>
      <c r="B8" s="140" t="str">
        <f>IF(Lang="Français","Nom",IF(Lang="English","Name",""))</f>
        <v>Nom</v>
      </c>
      <c r="C8" s="600" t="str">
        <f>Nom</f>
        <v>SP02</v>
      </c>
      <c r="D8" s="600"/>
      <c r="E8" s="5"/>
      <c r="F8" s="5"/>
      <c r="J8" s="4"/>
      <c r="N8" s="57"/>
    </row>
    <row r="9" spans="1:14" ht="12.75" customHeight="1" x14ac:dyDescent="0.25">
      <c r="A9" s="59"/>
      <c r="B9" s="140" t="s">
        <v>4</v>
      </c>
      <c r="C9" s="601" t="str">
        <f>Club</f>
        <v>L'AéroIPSA</v>
      </c>
      <c r="D9" s="601"/>
      <c r="F9" s="5"/>
      <c r="N9" s="58"/>
    </row>
    <row r="10" spans="1:14" ht="12.75" customHeight="1" x14ac:dyDescent="0.25">
      <c r="A10" s="59"/>
      <c r="B10" s="141" t="s">
        <v>563</v>
      </c>
      <c r="C10" s="596" t="str">
        <f>Matricule</f>
        <v>FX0</v>
      </c>
      <c r="D10" s="596"/>
      <c r="F10" s="5"/>
      <c r="N10" s="58"/>
    </row>
    <row r="11" spans="1:14" ht="12.75" customHeight="1" x14ac:dyDescent="0.2">
      <c r="A11" s="59"/>
      <c r="B11" s="140" t="str">
        <f>IF(Lang="Français","Masse totale",IF(Lang="English","Total Mass",""))</f>
        <v>Masse totale</v>
      </c>
      <c r="C11" s="625">
        <f ca="1">MassePlein</f>
        <v>8.4619999999999997</v>
      </c>
      <c r="D11" s="625"/>
      <c r="F11" s="5"/>
      <c r="N11" s="58"/>
    </row>
    <row r="12" spans="1:14" ht="12.75" customHeight="1" x14ac:dyDescent="0.2">
      <c r="A12" s="59"/>
      <c r="B12" s="227" t="str">
        <f>IF(Lang="Français","Propulseur",IF(Lang="English","Motor",""))</f>
        <v>Propulseur</v>
      </c>
      <c r="C12" s="628" t="str">
        <f>Propu</f>
        <v>Pro54-5G WT</v>
      </c>
      <c r="D12" s="629"/>
      <c r="F12" s="5"/>
      <c r="N12" s="58"/>
    </row>
    <row r="13" spans="1:14" ht="12.75" customHeight="1" x14ac:dyDescent="0.2">
      <c r="A13" s="59"/>
      <c r="N13" s="58"/>
    </row>
    <row r="14" spans="1:14" ht="12.75" customHeight="1" x14ac:dyDescent="0.2">
      <c r="A14" s="59"/>
      <c r="B14"/>
      <c r="C14" s="599" t="str">
        <f>IF(Lang="Français","Traînée Aérdynamique",IF(Lang="English","Drag",""))</f>
        <v>Traînée Aérdynamique</v>
      </c>
      <c r="D14" s="599"/>
      <c r="N14" s="58"/>
    </row>
    <row r="15" spans="1:14" ht="12.75" customHeight="1" x14ac:dyDescent="0.2">
      <c r="A15" s="59"/>
      <c r="B15" s="140" t="s">
        <v>40</v>
      </c>
      <c r="C15" s="630">
        <f>(PI()*D_ref^2/4+E_ail*ep_ail*Q_ail)/10^6</f>
        <v>1.0574866535306801E-2</v>
      </c>
      <c r="D15" s="630"/>
      <c r="N15" s="58"/>
    </row>
    <row r="16" spans="1:14" ht="12.75" customHeight="1" x14ac:dyDescent="0.2">
      <c r="A16" s="59"/>
      <c r="B16" s="141" t="s">
        <v>5</v>
      </c>
      <c r="C16" s="623">
        <v>0.6</v>
      </c>
      <c r="D16" s="624"/>
      <c r="N16" s="58"/>
    </row>
    <row r="17" spans="1:18" ht="12.75" customHeight="1" x14ac:dyDescent="0.2">
      <c r="A17" s="59"/>
      <c r="N17" s="58"/>
    </row>
    <row r="18" spans="1:18" ht="12.75" customHeight="1" x14ac:dyDescent="0.2">
      <c r="A18" s="59"/>
      <c r="B18"/>
      <c r="C18" s="599" t="str">
        <f>IF(Lang="Français","Rampe de Lancement",IF(Lang="English","Launch Pad",""))</f>
        <v>Rampe de Lancement</v>
      </c>
      <c r="D18" s="599"/>
      <c r="N18" s="58"/>
    </row>
    <row r="19" spans="1:18" ht="12.75" customHeight="1" x14ac:dyDescent="0.2">
      <c r="A19" s="59"/>
      <c r="B19" s="140" t="str">
        <f>IF(Lang="Français","Longueur",IF(Lang="English","Length",""))</f>
        <v>Longueur</v>
      </c>
      <c r="C19" s="627">
        <f>IF(RIGHT(Type_fusee,1)=".",4, IF(LEFT(Type_fusee,4)="Mini",2.5, IF(LEFT(Type_fusee,5)="Micro",1, IF(RIGHT(Type_fusee,1)=" ",0.1,IF(LEFT(Type_fusee,1)="R",3, 2.5)))))</f>
        <v>4</v>
      </c>
      <c r="D19" s="627"/>
      <c r="N19" s="58"/>
    </row>
    <row r="20" spans="1:18" ht="12.75" customHeight="1" x14ac:dyDescent="0.2">
      <c r="A20" s="59"/>
      <c r="B20" s="140" t="str">
        <f>IF(Lang="Français","Élévation",IF(Lang="English","Angle /horizon",""))</f>
        <v>Élévation</v>
      </c>
      <c r="C20" s="626">
        <v>80</v>
      </c>
      <c r="D20" s="626"/>
      <c r="N20" s="58"/>
    </row>
    <row r="21" spans="1:18" ht="12.75" customHeight="1" x14ac:dyDescent="0.2">
      <c r="A21" s="59"/>
      <c r="B21" s="140" t="s">
        <v>6</v>
      </c>
      <c r="C21" s="627">
        <v>0</v>
      </c>
      <c r="D21" s="627"/>
      <c r="N21" s="58"/>
    </row>
    <row r="22" spans="1:18" x14ac:dyDescent="0.2">
      <c r="A22" s="59"/>
      <c r="F22" s="384"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N22" s="58"/>
    </row>
    <row r="23" spans="1:18" x14ac:dyDescent="0.2">
      <c r="A23" s="59"/>
      <c r="C23" s="613" t="str">
        <f>IF(Lang="Français","DescenteSousParachute",IF(Lang="English","Over Parachute",""))</f>
        <v>DescenteSousParachute</v>
      </c>
      <c r="D23" s="614"/>
      <c r="F23" s="4"/>
      <c r="G23" s="50">
        <f ca="1">TODAY()</f>
        <v>45862</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121</v>
      </c>
      <c r="E24" s="18" t="str">
        <f>IF(ABS(T_satellite-0.11-T_para)&lt;0.1,"Pb!","")</f>
        <v/>
      </c>
      <c r="F24" s="615" t="str">
        <f>IF(Lang="Français","Sortie de Rampe",IF(Lang="English","Launch-Pad Exit",""))</f>
        <v>Sortie de Rampe</v>
      </c>
      <c r="G24" s="616"/>
      <c r="H24" s="491"/>
      <c r="I24" s="491"/>
      <c r="J24" s="491"/>
      <c r="K24" s="492">
        <f ca="1">INDEX(vit_xz,MATCH("Sortie de rampe",Event,0))</f>
        <v>32.921236098223389</v>
      </c>
      <c r="L24" s="493"/>
      <c r="M24" s="500"/>
      <c r="N24" s="58"/>
    </row>
    <row r="25" spans="1:18" x14ac:dyDescent="0.2">
      <c r="A25" s="59"/>
      <c r="B25" s="466" t="str">
        <f>IF(Lang="Français","Masse",IF(Lang="English","Mass",""))</f>
        <v>Masse</v>
      </c>
      <c r="C25" s="467">
        <f ca="1">IF(Nb_sat="0 satellite",MasseVide,MasseVide-m_satellite)</f>
        <v>6.48</v>
      </c>
      <c r="D25" s="480">
        <f>IF(RIGHT(Type_fusee,1)=".",1,0.15)</f>
        <v>1</v>
      </c>
      <c r="F25" s="619" t="str">
        <f>IF(Lang="Français","Vit max &amp; Acc max",IF(Lang="English","Max Velocity &amp; Acc",""))</f>
        <v>Vit max &amp; Acc max</v>
      </c>
      <c r="G25" s="620"/>
      <c r="H25" s="115"/>
      <c r="I25" s="115"/>
      <c r="J25" s="115"/>
      <c r="K25" s="158">
        <f ca="1">MAX(vit_xz)</f>
        <v>219.12405880697469</v>
      </c>
      <c r="L25" s="494">
        <f ca="1">MAX(acc_xz)</f>
        <v>151.03357616325854</v>
      </c>
      <c r="M25" s="500"/>
      <c r="N25" s="58"/>
    </row>
    <row r="26" spans="1:18" x14ac:dyDescent="0.2">
      <c r="A26" s="59"/>
      <c r="B26" s="469" t="str">
        <f>IF(Lang="Français","Dépotage",IF(Lang="English","Delay",""))</f>
        <v>Dépotage</v>
      </c>
      <c r="C26" s="505" t="s">
        <v>407</v>
      </c>
      <c r="D26" s="535"/>
      <c r="F26" s="621" t="str">
        <f>IF(Lang="Français","Largage du satellite",IF(Lang="English","Satellite separation",""))</f>
        <v>Largage du satellite</v>
      </c>
      <c r="G26" s="622"/>
      <c r="H26" s="152">
        <f>IF(T_satellite&lt;&gt;0,T_satellite,"")</f>
        <v>3.7</v>
      </c>
      <c r="I26" s="156">
        <f ca="1">IF(T_satellite&lt;&gt;0,INDEX(pos_z,MATCH("Satellite",Event_sat,0)),"")</f>
        <v>570.26215930574847</v>
      </c>
      <c r="J26" s="154">
        <f ca="1">IF(T_satellite&lt;&gt;0,INDEX(pos_x,MATCH("Satellite",Event_sat,0)),"")</f>
        <v>117.2102782419465</v>
      </c>
      <c r="K26" s="159">
        <f ca="1">IF(T_satellite&lt;&gt;0,INDEX(vit_xz,MATCH("Satellite",Event_sat,0)),"")</f>
        <v>162.98155406263706</v>
      </c>
      <c r="L26" s="495"/>
      <c r="M26" s="485">
        <f ca="1">1/2*Rho_moyen*1*V_ouv_sat^2*S_satellite</f>
        <v>1626.9829515861777</v>
      </c>
      <c r="N26" s="58"/>
    </row>
    <row r="27" spans="1:18" x14ac:dyDescent="0.2">
      <c r="A27" s="59"/>
      <c r="B27" s="468" t="str">
        <f>IF(Lang="Français","Ouverture para",IF(Lang="English","Opening time",""))</f>
        <v>Ouverture para</v>
      </c>
      <c r="C27" s="507">
        <v>17</v>
      </c>
      <c r="D27" s="507">
        <v>3.7</v>
      </c>
      <c r="F27" s="619" t="s">
        <v>15</v>
      </c>
      <c r="G27" s="620"/>
      <c r="H27" s="153">
        <f ca="1">INDEX(t,MATCH("Apogée",Event,0))</f>
        <v>15.699999999999962</v>
      </c>
      <c r="I27" s="157">
        <f ca="1">INDEX(pos_z,MATCH("Apogée",Event,0))</f>
        <v>1396.1084776157461</v>
      </c>
      <c r="J27" s="155">
        <f ca="1">INDEX(pos_x,MATCH("Apogée",Event,0))</f>
        <v>441.5129369838113</v>
      </c>
      <c r="K27" s="160">
        <f ca="1">INDEX(vit_xz,MATCH("Apogée",Event,0))</f>
        <v>23.148966956269266</v>
      </c>
      <c r="L27" s="496"/>
      <c r="M27" s="500"/>
      <c r="N27" s="58"/>
    </row>
    <row r="28" spans="1:18" x14ac:dyDescent="0.2">
      <c r="A28" s="59"/>
      <c r="B28" s="534" t="s">
        <v>558</v>
      </c>
      <c r="C28" s="507" t="s">
        <v>560</v>
      </c>
      <c r="D28" s="507"/>
      <c r="F28" s="617" t="str">
        <f>IF(Lang="Français","Ouverture parachute fusée",IF(Lang="English","Rocket parachute opening",""))</f>
        <v>Ouverture parachute fusée</v>
      </c>
      <c r="G28" s="618"/>
      <c r="H28" s="152">
        <f>T_para</f>
        <v>17</v>
      </c>
      <c r="I28" s="156">
        <f ca="1">INDEX(pos_z,MATCH("Para",Event_para,0))</f>
        <v>1388.7662395243651</v>
      </c>
      <c r="J28" s="486">
        <f ca="1">INDEX(pos_x,MATCH("Para",Event_para,0))</f>
        <v>471.38639292102164</v>
      </c>
      <c r="K28" s="159">
        <f ca="1">INDEX(vit_xz,MATCH("Para",Event_para,0))</f>
        <v>25.766527472611763</v>
      </c>
      <c r="L28" s="495"/>
      <c r="M28" s="485">
        <f ca="1">1/2*Rho_moyen*1*V_ouverture^2*S_para</f>
        <v>195.3940214145874</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0.1</v>
      </c>
      <c r="F29" s="606" t="str">
        <f>IF(Lang="Français","Impact balistique",IF(Lang="English","Balistic Impact",""))</f>
        <v>Impact balistique</v>
      </c>
      <c r="G29" s="607"/>
      <c r="H29" s="497">
        <f ca="1">INDEX(t,MATCH("Impact balistique",Event,0))</f>
        <v>34.700000000000223</v>
      </c>
      <c r="I29" s="517" t="s">
        <v>428</v>
      </c>
      <c r="J29" s="487">
        <f ca="1">INDEX(pos_x,MATCH("Impact balistique",Event,0))</f>
        <v>786.02923903053897</v>
      </c>
      <c r="K29" s="501">
        <f ca="1">K47</f>
        <v>122.02535282562485</v>
      </c>
      <c r="L29" s="498"/>
      <c r="M29" s="502">
        <f ca="1">0.5*m_vide*K29^2</f>
        <v>48244.205012387065</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str">
        <f ca="1">IF(OR(AND(Vsortie_de_rampe&lt;20,LEFT(Type_fusee,1)="F"),AND(Vsortie_de_rampe&lt;18, OR(LEFT(Type_fusee,1)=",",LEFT(Type_fusee,4)="Mini",LEFT(Type_fusee,1)="R"))),IF(Lang="Français","Fusée trop lourde ou rampe trop courte !","Rocket too heavy or launch pad too small!"),"")</f>
        <v/>
      </c>
    </row>
    <row r="32" spans="1:18" x14ac:dyDescent="0.2">
      <c r="A32" s="59"/>
      <c r="B32" s="133" t="str">
        <f>IF(Lang="Français","Vitesse descente",IF(Lang="English","Fall velocity",""))</f>
        <v>Vitesse descente</v>
      </c>
      <c r="C32" s="424">
        <f ca="1">SQRT(2*m_vide*g/Rho_moyen/S_para/Cx_para)</f>
        <v>14.696782400969653</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94.494577223429403</v>
      </c>
      <c r="D33" s="132">
        <f ca="1">IF(V_satellite&lt;&gt;0,Alt_sat/V_satellite,0)</f>
        <v>45.060198135070387</v>
      </c>
      <c r="H33" s="608" t="str">
        <f>IF(Lang="Français","Pour localiser la fusée","To locate the rocket")</f>
        <v>Pour localiser la fusée</v>
      </c>
      <c r="I33" s="608"/>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111.4945772234294</v>
      </c>
      <c r="D34" s="132">
        <f ca="1">T_satellite+Dt_satellite</f>
        <v>48.760198135070389</v>
      </c>
      <c r="F34" s="608" t="str">
        <f>IF(Lang="Français","Couleur fuselage/coiffe","Body/Nose color")</f>
        <v>Couleur fuselage/coiffe</v>
      </c>
      <c r="G34" s="608"/>
      <c r="H34" s="604" t="s">
        <v>266</v>
      </c>
      <c r="I34" s="605"/>
      <c r="J34" s="1"/>
      <c r="K34" s="1"/>
      <c r="L34" s="1"/>
      <c r="M34" s="1"/>
      <c r="N34" s="394"/>
    </row>
    <row r="35" spans="1:16" x14ac:dyDescent="0.2">
      <c r="A35" s="74"/>
      <c r="B35" s="133" t="str">
        <f>IF(Lang="Français","Déport latéral",IF(Lang="English","Lateral shift",""))</f>
        <v>Déport latéral</v>
      </c>
      <c r="C35" s="151">
        <f ca="1">Alt_para*V_vent/V_para</f>
        <v>472.47288611714703</v>
      </c>
      <c r="D35" s="151">
        <f ca="1">IF(V_satellite&lt;&gt;0,Alt_sat*V_vent_sat/V_satellite,0)</f>
        <v>225.30099067535193</v>
      </c>
      <c r="F35" s="608" t="str">
        <f>IF(Lang="Français","Couleur parachute fusée","Rocket parachute color")</f>
        <v>Couleur parachute fusée</v>
      </c>
      <c r="G35" s="608"/>
      <c r="H35" s="604" t="s">
        <v>267</v>
      </c>
      <c r="I35" s="605"/>
      <c r="J35"/>
      <c r="K35"/>
      <c r="L35"/>
      <c r="M35"/>
      <c r="N35" s="394" t="str">
        <f>IF(Lang="Français","fichier initial","Initial file")</f>
        <v>fichier initial</v>
      </c>
      <c r="P35"/>
    </row>
    <row r="36" spans="1:16" x14ac:dyDescent="0.2">
      <c r="A36" s="59"/>
      <c r="F36" s="608" t="str">
        <f>IF(Lang="Français","Couleur parachute satellite","Satellite parachute color")</f>
        <v>Couleur parachute satellite</v>
      </c>
      <c r="G36" s="608"/>
      <c r="H36" s="612" t="s">
        <v>158</v>
      </c>
      <c r="I36" s="612"/>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567</v>
      </c>
    </row>
    <row r="40" spans="1:16" x14ac:dyDescent="0.2">
      <c r="A40" s="609" t="str">
        <f>IF(Lang="Français","Calcul de la surface d'un parachute","Parachute surface calculation")</f>
        <v>Calcul de la surface d'un parachute</v>
      </c>
      <c r="B40" s="610"/>
      <c r="C40" s="610"/>
      <c r="D40" s="611"/>
      <c r="F40" s="609" t="str">
        <f>IF(Lang="Français","Résultats détaillés","Detailled results")</f>
        <v>Résultats détaillés</v>
      </c>
      <c r="G40" s="611"/>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633" t="str">
        <f>IF(Lang="Français","Décollage",IF(Lang="English","Lift-Off",""))</f>
        <v>Décollage</v>
      </c>
      <c r="G42" s="633"/>
      <c r="H42" s="150">
        <v>0</v>
      </c>
      <c r="I42" s="150">
        <v>0</v>
      </c>
      <c r="J42" s="150">
        <v>0</v>
      </c>
      <c r="K42" s="150">
        <v>0</v>
      </c>
      <c r="L42" s="148" t="s">
        <v>14</v>
      </c>
      <c r="M42" s="149">
        <f>Beta_rampe</f>
        <v>80</v>
      </c>
    </row>
    <row r="43" spans="1:16" x14ac:dyDescent="0.2">
      <c r="A43" s="161"/>
      <c r="B43" s="166" t="str">
        <f>IF(Lang="Français","Bord   'a'","Side length 'a'")</f>
        <v>Bord   'a'</v>
      </c>
      <c r="D43" s="162"/>
      <c r="F43" s="620" t="str">
        <f>IF(Lang="Français","Sortie de Rampe",IF(Lang="English","Launch-Pad Exit",""))</f>
        <v>Sortie de Rampe</v>
      </c>
      <c r="G43" s="620"/>
      <c r="H43" s="115">
        <f ca="1">INDEX(t,MATCH("Sortie de rampe",Event,0))</f>
        <v>0.24000000000000007</v>
      </c>
      <c r="I43" s="115">
        <f ca="1">INDEX(pos_z,MATCH("Sortie de rampe",Event,0))</f>
        <v>3.6752117230480756</v>
      </c>
      <c r="J43" s="115">
        <f ca="1">INDEX(pos_x,MATCH("Sortie de rampe",Event,0))</f>
        <v>0.64800488123332123</v>
      </c>
      <c r="K43" s="116">
        <f ca="1">INDEX(vit_xz,MATCH("Sortie de rampe",Event,0))</f>
        <v>32.921236098223389</v>
      </c>
      <c r="L43" s="116">
        <f ca="1">INDEX(acc_xz,MATCH("Sortie de rampe",Event,0))</f>
        <v>147.98102758472518</v>
      </c>
      <c r="M43" s="116">
        <f ca="1">INDEX(BetaD,MATCH("Sortie de rampe",Event,0))</f>
        <v>80</v>
      </c>
    </row>
    <row r="44" spans="1:16" x14ac:dyDescent="0.2">
      <c r="A44" s="161"/>
      <c r="B44" s="167">
        <v>310</v>
      </c>
      <c r="D44" s="162"/>
      <c r="F44" s="620" t="str">
        <f>IF(Lang="Français","Vit max &amp; Acc max",IF(Lang="English","Max Velocity &amp; Acc",""))</f>
        <v>Vit max &amp; Acc max</v>
      </c>
      <c r="G44" s="620"/>
      <c r="H44" s="115" t="s">
        <v>14</v>
      </c>
      <c r="I44" s="115" t="s">
        <v>14</v>
      </c>
      <c r="J44" s="115" t="s">
        <v>14</v>
      </c>
      <c r="K44" s="117">
        <f ca="1">MAX(vit_xz)</f>
        <v>219.12405880697469</v>
      </c>
      <c r="L44" s="118">
        <f ca="1">MAX(acc_xz)</f>
        <v>151.03357616325854</v>
      </c>
      <c r="M44" s="116" t="s">
        <v>14</v>
      </c>
    </row>
    <row r="45" spans="1:16" x14ac:dyDescent="0.2">
      <c r="A45" s="161"/>
      <c r="B45" s="166" t="str">
        <f>IF(Lang="Français","Coté   'b'","Side width 'b'")</f>
        <v>Coté   'b'</v>
      </c>
      <c r="D45" s="162"/>
      <c r="F45" s="620" t="str">
        <f>IF(Lang="Français","Fin de Propulsion",IF(Lang="English","Motor Burn-Out",""))</f>
        <v>Fin de Propulsion</v>
      </c>
      <c r="G45" s="620"/>
      <c r="H45" s="116">
        <f ca="1">INDEX(t,MATCH("Fin de propulsion",Event,0))</f>
        <v>1.7100000000000013</v>
      </c>
      <c r="I45" s="119">
        <f ca="1">INDEX(pos_z,MATCH("Fin de propulsion",Event,0))</f>
        <v>202.69803915135117</v>
      </c>
      <c r="J45" s="119">
        <f ca="1">INDEX(pos_x,MATCH("Fin de propulsion",Event,0))</f>
        <v>39.462001240201438</v>
      </c>
      <c r="K45" s="119">
        <f ca="1">INDEX(vit_xz,MATCH("Fin de propulsion",Event,0))</f>
        <v>218.28272311102194</v>
      </c>
      <c r="L45" s="116">
        <f ca="1">INDEX(acc_xz,MATCH("Fin de propulsion",Event,0))</f>
        <v>34.011466501285213</v>
      </c>
      <c r="M45" s="116">
        <f ca="1">INDEX(BetaD,MATCH("Fin de propulsion",Event,0))</f>
        <v>78.608496988250351</v>
      </c>
    </row>
    <row r="46" spans="1:16" x14ac:dyDescent="0.2">
      <c r="A46" s="161"/>
      <c r="B46" s="168">
        <v>310</v>
      </c>
      <c r="D46" s="162"/>
      <c r="F46" s="620" t="s">
        <v>15</v>
      </c>
      <c r="G46" s="620"/>
      <c r="H46" s="118">
        <f ca="1">INDEX(t,MATCH("Apogée",Event,0))</f>
        <v>15.699999999999962</v>
      </c>
      <c r="I46" s="117">
        <f ca="1">INDEX(pos_z,MATCH("Apogée",Event,0))</f>
        <v>1396.1084776157461</v>
      </c>
      <c r="J46" s="120">
        <f ca="1">INDEX(pos_x,MATCH("Apogée",Event,0))</f>
        <v>441.5129369838113</v>
      </c>
      <c r="K46" s="120">
        <f ca="1">INDEX(vit_xz,MATCH("Apogée",Event,0))</f>
        <v>23.148966956269266</v>
      </c>
      <c r="L46" s="116">
        <f ca="1">INDEX(acc_xz,MATCH("Apogée",Event,0))</f>
        <v>9.8307346625068419</v>
      </c>
      <c r="M46" s="121">
        <f ca="1">INDEX(BetaD,MATCH("Apogée",Event,0))</f>
        <v>1.7506735905724844</v>
      </c>
    </row>
    <row r="47" spans="1:16" x14ac:dyDescent="0.2">
      <c r="A47" s="161"/>
      <c r="B47" s="169" t="s">
        <v>9</v>
      </c>
      <c r="D47" s="162"/>
      <c r="F47" s="635" t="str">
        <f>IF(Lang="Français","Impact balistique",IF(Lang="English","Balistic Impact",""))</f>
        <v>Impact balistique</v>
      </c>
      <c r="G47" s="635"/>
      <c r="H47" s="116">
        <f ca="1">INDEX(t,MATCH("Impact balistique",Event,0))</f>
        <v>34.700000000000223</v>
      </c>
      <c r="I47" s="148" t="s">
        <v>16</v>
      </c>
      <c r="J47" s="117">
        <f ca="1">INDEX(pos_x,MATCH("Impact balistique",Event,0))</f>
        <v>786.02923903053897</v>
      </c>
      <c r="K47" s="119">
        <f ca="1">INDEX(vit_xz,MATCH("Impact balistique",Event,0))</f>
        <v>122.02535282562485</v>
      </c>
      <c r="L47" s="116">
        <f ca="1">INDEX(acc_xz,MATCH("Impact balistique",Event,0))</f>
        <v>2.2544065646624967</v>
      </c>
      <c r="M47" s="116">
        <f ca="1">INDEX(BetaD,MATCH("Impact balistique",Event,0))</f>
        <v>-84.684535341295273</v>
      </c>
    </row>
    <row r="48" spans="1:16" x14ac:dyDescent="0.2">
      <c r="A48" s="161"/>
      <c r="B48" s="174">
        <f>(4*B44*B46+B44^2)/10^6</f>
        <v>0.48049999999999998</v>
      </c>
      <c r="D48" s="162"/>
      <c r="F48" s="618" t="str">
        <f>IF(Lang="Français","Ouverture parachute fusée",IF(Lang="English","Rocket parachute opening",""))</f>
        <v>Ouverture parachute fusée</v>
      </c>
      <c r="G48" s="618"/>
      <c r="H48" s="122">
        <f>T_para</f>
        <v>17</v>
      </c>
      <c r="I48" s="123">
        <f ca="1">INDEX(pos_z,MATCH("Para",Event_para,0))</f>
        <v>1388.7662395243651</v>
      </c>
      <c r="J48" s="123">
        <f ca="1">INDEX(pos_x,MATCH("Para",Event_para,0))</f>
        <v>471.38639292102164</v>
      </c>
      <c r="K48" s="123">
        <f ca="1">INDEX(vit_xz,MATCH("Para",Event_para,0))</f>
        <v>25.766527472611763</v>
      </c>
      <c r="L48" s="122">
        <f ca="1">INDEX(acc_xz,MATCH("Para",Event_para,0))</f>
        <v>9.6874236342201581</v>
      </c>
      <c r="M48" s="124">
        <f ca="1">INDEX(BetaD,MATCH("Para",Event_para,0))</f>
        <v>-27.686650104102846</v>
      </c>
    </row>
    <row r="49" spans="1:13" x14ac:dyDescent="0.2">
      <c r="A49" s="161"/>
      <c r="D49" s="162"/>
      <c r="F49" s="636" t="str">
        <f>IF(Lang="Français","Impact fusée sous para.",IF(Lang="English","Impact of rocket with para. ",""))</f>
        <v>Impact fusée sous para.</v>
      </c>
      <c r="G49" s="636"/>
      <c r="H49" s="125">
        <f ca="1">T_para+Dt_para</f>
        <v>111.4945772234294</v>
      </c>
      <c r="I49" s="127" t="s">
        <v>16</v>
      </c>
      <c r="J49" s="126" t="str">
        <f ca="1">CONCATENATE(TEXT(X_para-Dx_para,"0")," | ",TEXT(X_para+Dx_para,"0"))</f>
        <v>-1 | 944</v>
      </c>
      <c r="K49" s="126">
        <f ca="1">V_para</f>
        <v>14.696782400969653</v>
      </c>
      <c r="L49" s="128">
        <f>g</f>
        <v>9.81</v>
      </c>
      <c r="M49" s="128" t="s">
        <v>14</v>
      </c>
    </row>
    <row r="50" spans="1:13" x14ac:dyDescent="0.2">
      <c r="A50" s="161"/>
      <c r="D50" s="162"/>
      <c r="F50" s="634" t="str">
        <f>IF(Lang="Français","Largage du satellite",IF(Lang="English","Satellite separation",""))</f>
        <v>Largage du satellite</v>
      </c>
      <c r="G50" s="622"/>
      <c r="H50" s="122">
        <f>IF(T_satellite&lt;&gt;0,T_satellite,"")</f>
        <v>3.7</v>
      </c>
      <c r="I50" s="123">
        <f ca="1">IF(T_satellite&lt;&gt;0,INDEX(pos_z,MATCH("Satellite",Event_sat,0)),"")</f>
        <v>570.26215930574847</v>
      </c>
      <c r="J50" s="129">
        <f ca="1">IF(T_satellite&lt;&gt;0,INDEX(pos_x,MATCH("Satellite",Event_sat,0)),"")</f>
        <v>117.2102782419465</v>
      </c>
      <c r="K50" s="123">
        <f ca="1">IF(T_satellite&lt;&gt;0,INDEX(vit_xz,MATCH("Satellite",Event_sat,0)),"")</f>
        <v>162.98155406263706</v>
      </c>
      <c r="L50" s="122">
        <f ca="1">IF(T_satellite&lt;&gt;0,INDEX(acc_xz,MATCH("Satellite",Event_sat,0)),"")</f>
        <v>23.101648304121216</v>
      </c>
      <c r="M50" s="124">
        <f ca="1">IF(T_satellite&lt;&gt;0,INDEX(BetaD,MATCH("Satellite",Event_sat,0)),"")</f>
        <v>77.362461972699734</v>
      </c>
    </row>
    <row r="51" spans="1:13" x14ac:dyDescent="0.2">
      <c r="A51" s="161"/>
      <c r="B51" s="166" t="str">
        <f>IF(Lang="Français","Rayon exterieur","Half-diameter ext")</f>
        <v>Rayon exterieur</v>
      </c>
      <c r="D51" s="162"/>
      <c r="F51" s="631" t="str">
        <f>IF(Lang="Français","Impact du satellite",IF(Lang="English","Satellite impact",""))</f>
        <v>Impact du satellite</v>
      </c>
      <c r="G51" s="632"/>
      <c r="H51" s="125">
        <f ca="1">IF(T_satellite&lt;&gt;0,T_satellite+Dt_satellite,"")</f>
        <v>48.760198135070389</v>
      </c>
      <c r="I51" s="130" t="str">
        <f>IF(T_satellite&lt;&gt;0,"~0","")</f>
        <v>~0</v>
      </c>
      <c r="J51" s="130" t="str">
        <f ca="1">IF(T_satellite&lt;&gt;0,CONCATENATE(TEXT(X_satellite-Dx_sat,"0")," | ",TEXT(X_satellite+Dx_sat,"0")),"")</f>
        <v>-108 | 343</v>
      </c>
      <c r="K51" s="130">
        <f>IF(T_satellite&lt;&gt;0,V_satellite,"")</f>
        <v>12.655562623057198</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559</v>
      </c>
    </row>
    <row r="105" spans="2:9" x14ac:dyDescent="0.2">
      <c r="B105" s="1" t="s">
        <v>120</v>
      </c>
      <c r="F105" s="477">
        <f ca="1">Combustion+Depotage-9</f>
        <v>-9</v>
      </c>
      <c r="G105" s="478" t="s">
        <v>409</v>
      </c>
      <c r="I105" s="1" t="s">
        <v>560</v>
      </c>
    </row>
    <row r="106" spans="2:9" x14ac:dyDescent="0.2">
      <c r="B106" s="1" t="s">
        <v>121</v>
      </c>
      <c r="F106" s="477">
        <f ca="1">Combustion+Depotage-7</f>
        <v>-7</v>
      </c>
      <c r="G106" s="478" t="s">
        <v>410</v>
      </c>
      <c r="I106" s="1" t="s">
        <v>561</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Satellite sous parachute</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17</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1396.1084776157461</v>
      </c>
      <c r="C121" s="216">
        <f ca="1">MAX(Altitude_culmi,Portee_balistique)</f>
        <v>1396.1084776157461</v>
      </c>
    </row>
    <row r="123" spans="2:3" x14ac:dyDescent="0.2">
      <c r="B123" s="210" t="s">
        <v>49</v>
      </c>
      <c r="C123" s="211" t="s">
        <v>45</v>
      </c>
    </row>
    <row r="124" spans="2:3" x14ac:dyDescent="0.2">
      <c r="B124" s="217">
        <f ca="1">X_para</f>
        <v>471.38639292102164</v>
      </c>
      <c r="C124" s="214">
        <f ca="1">Alt_para</f>
        <v>1388.7662395243651</v>
      </c>
    </row>
    <row r="125" spans="2:3" x14ac:dyDescent="0.2">
      <c r="B125" s="217">
        <f ca="1">X_para</f>
        <v>471.38639292102164</v>
      </c>
      <c r="C125" s="214">
        <f ca="1">Alt_para/2</f>
        <v>694.38311976218256</v>
      </c>
    </row>
    <row r="126" spans="2:3" x14ac:dyDescent="0.2">
      <c r="B126" s="217">
        <f ca="1">X_para</f>
        <v>471.38639292102164</v>
      </c>
      <c r="C126" s="214">
        <v>0</v>
      </c>
    </row>
    <row r="127" spans="2:3" x14ac:dyDescent="0.2">
      <c r="B127" s="217">
        <f ca="1">X_para+Alt_para/40</f>
        <v>506.10554890913079</v>
      </c>
      <c r="C127" s="214">
        <f ca="1">Alt_para/20</f>
        <v>69.438311976218259</v>
      </c>
    </row>
    <row r="128" spans="2:3" x14ac:dyDescent="0.2">
      <c r="B128" s="217">
        <f ca="1">X_para</f>
        <v>471.38639292102164</v>
      </c>
      <c r="C128" s="214">
        <v>0</v>
      </c>
    </row>
    <row r="129" spans="2:6" x14ac:dyDescent="0.2">
      <c r="B129" s="217">
        <f ca="1">X_para-Alt_para/40</f>
        <v>436.66723693291249</v>
      </c>
      <c r="C129" s="214">
        <f ca="1">Alt_para/20</f>
        <v>69.438311976218259</v>
      </c>
    </row>
    <row r="130" spans="2:6" x14ac:dyDescent="0.2">
      <c r="B130" s="218">
        <f ca="1">X_para</f>
        <v>471.38639292102164</v>
      </c>
      <c r="C130" s="219">
        <v>0</v>
      </c>
    </row>
    <row r="131" spans="2:6" x14ac:dyDescent="0.2">
      <c r="B131" s="210" t="s">
        <v>48</v>
      </c>
      <c r="C131" s="211" t="s">
        <v>45</v>
      </c>
    </row>
    <row r="132" spans="2:6" x14ac:dyDescent="0.2">
      <c r="B132" s="213">
        <f>T_para</f>
        <v>17</v>
      </c>
      <c r="C132" s="214">
        <f ca="1">Alt_para</f>
        <v>1388.7662395243651</v>
      </c>
    </row>
    <row r="133" spans="2:6" x14ac:dyDescent="0.2">
      <c r="B133" s="213">
        <f ca="1">(B132+B134)/2</f>
        <v>64.247288611714708</v>
      </c>
      <c r="C133" s="214">
        <f ca="1">(C132+C134)/2</f>
        <v>694.38311976218256</v>
      </c>
      <c r="E133" s="232">
        <v>1</v>
      </c>
      <c r="F133" s="233" t="s">
        <v>175</v>
      </c>
    </row>
    <row r="134" spans="2:6" x14ac:dyDescent="0.2">
      <c r="B134" s="213">
        <f ca="1">H49</f>
        <v>111.4945772234294</v>
      </c>
      <c r="C134" s="214">
        <f>0</f>
        <v>0</v>
      </c>
      <c r="E134" s="161">
        <v>1</v>
      </c>
      <c r="F134" s="234" t="s">
        <v>176</v>
      </c>
    </row>
    <row r="135" spans="2:6" x14ac:dyDescent="0.2">
      <c r="B135" s="213">
        <f ca="1">H49+E133*sS/2*zZ_fus-E134*sS*tT_fus</f>
        <v>110.28866125127217</v>
      </c>
      <c r="C135" s="214">
        <f ca="1">Alt_para-V_para*(H49-T_para)+E133*sS*Altitude_culmi/H49*zZ_fus+E134*sS/2*Altitude_culmi/H49*tT_fus</f>
        <v>61.863235409617637</v>
      </c>
      <c r="E135" s="161"/>
      <c r="F135" s="241" t="s">
        <v>177</v>
      </c>
    </row>
    <row r="136" spans="2:6" x14ac:dyDescent="0.2">
      <c r="B136" s="213">
        <f ca="1">H49</f>
        <v>111.4945772234294</v>
      </c>
      <c r="C136" s="214">
        <f ca="1">Alt_para-V_para*(H49-T_para)</f>
        <v>0</v>
      </c>
      <c r="E136" s="235" t="s">
        <v>172</v>
      </c>
      <c r="F136" s="236">
        <f ca="1">T_balistique/10</f>
        <v>3.4700000000000224</v>
      </c>
    </row>
    <row r="137" spans="2:6" x14ac:dyDescent="0.2">
      <c r="B137" s="213">
        <f ca="1">H49-E133*sS/2*zZ_fus-E134*sS*tT_fus</f>
        <v>106.81866125127215</v>
      </c>
      <c r="C137" s="214">
        <f ca="1">Alt_para-V_para*(H49-T_para)+E133*sS*Altitude_culmi/H49*zZ_fus-E134*sS/2*Altitude_culmi/H49*tT_fus</f>
        <v>25.037787724781943</v>
      </c>
      <c r="E137" s="235" t="s">
        <v>173</v>
      </c>
      <c r="F137" s="236">
        <f ca="1">(H49-T_para)/H49</f>
        <v>0.8475262167600055</v>
      </c>
    </row>
    <row r="138" spans="2:6" x14ac:dyDescent="0.2">
      <c r="B138" s="215">
        <f ca="1">H49</f>
        <v>111.4945772234294</v>
      </c>
      <c r="C138" s="216">
        <f ca="1">Alt_para-V_para*(H49-T_para)</f>
        <v>0</v>
      </c>
      <c r="E138" s="237" t="s">
        <v>174</v>
      </c>
      <c r="F138" s="238">
        <f ca="1">V_para*(H49-T_para)/Alt_para</f>
        <v>1</v>
      </c>
    </row>
    <row r="140" spans="2:6" x14ac:dyDescent="0.2">
      <c r="B140" s="210" t="s">
        <v>51</v>
      </c>
      <c r="C140" s="211" t="s">
        <v>46</v>
      </c>
    </row>
    <row r="141" spans="2:6" x14ac:dyDescent="0.2">
      <c r="B141" s="217">
        <f ca="1">IF(Nb_sat="1 satellite",X_satellite)</f>
        <v>117.2102782419465</v>
      </c>
      <c r="C141" s="214">
        <f ca="1">IF(Nb_sat="1 satellite",Alt_sat)</f>
        <v>570.26215930574847</v>
      </c>
    </row>
    <row r="142" spans="2:6" x14ac:dyDescent="0.2">
      <c r="B142" s="217">
        <f ca="1">IF(Nb_sat="1 satellite",X_satellite)</f>
        <v>117.2102782419465</v>
      </c>
      <c r="C142" s="214">
        <f ca="1">IF(Nb_sat="1 satellite",Alt_sat*1/4)</f>
        <v>142.56553982643712</v>
      </c>
    </row>
    <row r="143" spans="2:6" x14ac:dyDescent="0.2">
      <c r="B143" s="217">
        <f ca="1">IF(Nb_sat="1 satellite",X_satellite)</f>
        <v>117.2102782419465</v>
      </c>
      <c r="C143" s="214">
        <f>IF(Nb_sat="1 satellite",0)</f>
        <v>0</v>
      </c>
    </row>
    <row r="144" spans="2:6" x14ac:dyDescent="0.2">
      <c r="B144" s="217">
        <f ca="1">IF(Nb_sat="1 satellite",X_satellite+Alt_sat/40)</f>
        <v>131.46683222459021</v>
      </c>
      <c r="C144" s="214">
        <f ca="1">IF(Nb_sat="1 satellite",Alt_sat/20)</f>
        <v>28.513107965287425</v>
      </c>
    </row>
    <row r="145" spans="2:6" x14ac:dyDescent="0.2">
      <c r="B145" s="217">
        <f ca="1">IF(Nb_sat="1 satellite",X_satellite)</f>
        <v>117.2102782419465</v>
      </c>
      <c r="C145" s="214">
        <f>IF(Nb_sat="1 satellite",0)</f>
        <v>0</v>
      </c>
    </row>
    <row r="146" spans="2:6" x14ac:dyDescent="0.2">
      <c r="B146" s="217">
        <f ca="1">IF(Nb_sat="1 satellite",X_satellite-Alt_sat/40)</f>
        <v>102.95372425930279</v>
      </c>
      <c r="C146" s="214">
        <f ca="1">IF(Nb_sat="1 satellite",Alt_sat/20)</f>
        <v>28.513107965287425</v>
      </c>
    </row>
    <row r="147" spans="2:6" x14ac:dyDescent="0.2">
      <c r="B147" s="218">
        <f ca="1">IF(Nb_sat="1 satellite",X_satellite)</f>
        <v>117.2102782419465</v>
      </c>
      <c r="C147" s="214">
        <f>IF(Nb_sat="1 satellite",0)</f>
        <v>0</v>
      </c>
    </row>
    <row r="148" spans="2:6" x14ac:dyDescent="0.2">
      <c r="B148" s="210" t="s">
        <v>50</v>
      </c>
      <c r="C148" s="211" t="s">
        <v>46</v>
      </c>
    </row>
    <row r="149" spans="2:6" x14ac:dyDescent="0.2">
      <c r="B149" s="213">
        <f>IF(Nb_sat="1 satellite",T_satellite)</f>
        <v>3.7</v>
      </c>
      <c r="C149" s="214">
        <f ca="1">IF(Nb_sat="1 satellite",Alt_sat)</f>
        <v>570.26215930574847</v>
      </c>
      <c r="D149" s="221"/>
    </row>
    <row r="150" spans="2:6" x14ac:dyDescent="0.2">
      <c r="B150" s="213">
        <f ca="1">(B149+B151)/2</f>
        <v>26.230099067535196</v>
      </c>
      <c r="C150" s="214">
        <f ca="1">(C149+C151)/2</f>
        <v>285.13107965287423</v>
      </c>
      <c r="D150" s="221"/>
    </row>
    <row r="151" spans="2:6" x14ac:dyDescent="0.2">
      <c r="B151" s="213">
        <f ca="1">IF(Nb_sat="1 satellite",H51)</f>
        <v>48.760198135070389</v>
      </c>
      <c r="C151" s="214">
        <f>IF(Nb_sat="1 satellite",0)</f>
        <v>0</v>
      </c>
    </row>
    <row r="152" spans="2:6" x14ac:dyDescent="0.2">
      <c r="B152" s="213">
        <f ca="1">IF(Nb_sat="1 satellite",H51+E133*sS/2*zZ_sat-E134*sS*tT_sat)</f>
        <v>46.853823601136391</v>
      </c>
      <c r="C152" s="214">
        <f ca="1">IF(Nb_sat="1 satellite",Alt_sat-V_satellite*(H51-T_satellite)+E133*sS*Altitude_culmi/H51*zZ_sat+E134*sS/2*Altitude_culmi/H51*tT_sat)</f>
        <v>112.73189230329464</v>
      </c>
      <c r="D152" s="221"/>
    </row>
    <row r="153" spans="2:6" x14ac:dyDescent="0.2">
      <c r="B153" s="213">
        <f ca="1">IF(Nb_sat="1 satellite",H51)</f>
        <v>48.760198135070389</v>
      </c>
      <c r="C153" s="214">
        <f>IF(Nb_sat="1 satellite",0)</f>
        <v>0</v>
      </c>
    </row>
    <row r="154" spans="2:6" x14ac:dyDescent="0.2">
      <c r="B154" s="213">
        <f ca="1">IF(Nb_sat="1 satellite",H51-sS/2*zZ_sat-E134*sS*tT_sat)</f>
        <v>44.466572669004343</v>
      </c>
      <c r="C154" s="214">
        <f ca="1">IF(Nb_sat="1 satellite",Alt_sat-V_satellite*(H51-T_satellite)+E133*sS*Altitude_culmi/H51*zZ_sat-E134*sS/2*Altitude_culmi/H51*tT_sat)</f>
        <v>23.972280034697036</v>
      </c>
      <c r="E154" s="239" t="s">
        <v>173</v>
      </c>
      <c r="F154" s="240">
        <f ca="1">(T_balistique-T_satellite)/T_balistique</f>
        <v>0.89337175792507273</v>
      </c>
    </row>
    <row r="155" spans="2:6" x14ac:dyDescent="0.2">
      <c r="B155" s="215">
        <f ca="1">IF(Nb_sat="1 satellite",H51)</f>
        <v>48.760198135070389</v>
      </c>
      <c r="C155" s="216">
        <f>IF(Nb_sat="1 satellite",0)</f>
        <v>0</v>
      </c>
      <c r="E155" s="237" t="s">
        <v>174</v>
      </c>
      <c r="F155" s="238">
        <f ca="1">V_satellite*(T_balistique-T_satellite)/Alt_sat</f>
        <v>0.68796856833776099</v>
      </c>
    </row>
    <row r="157" spans="2:6" x14ac:dyDescent="0.2">
      <c r="B157" s="210" t="s">
        <v>2</v>
      </c>
      <c r="C157" s="228" t="s">
        <v>29</v>
      </c>
      <c r="D157" s="211" t="s">
        <v>3</v>
      </c>
    </row>
    <row r="158" spans="2:6" x14ac:dyDescent="0.2">
      <c r="B158" s="231">
        <f>T_para/4</f>
        <v>4.25</v>
      </c>
      <c r="C158" s="82">
        <f ca="1">Alt_para/2</f>
        <v>694.38311976218256</v>
      </c>
      <c r="D158" s="214">
        <f ca="1">X_para/4</f>
        <v>117.84659823025541</v>
      </c>
    </row>
    <row r="159" spans="2:6" x14ac:dyDescent="0.2">
      <c r="B159" s="229">
        <f ca="1">Temps_culmi + (T_balistique-Temps_culmi)/2</f>
        <v>25.200000000000095</v>
      </c>
      <c r="C159" s="230">
        <f ca="1">Altitude_culmi/2</f>
        <v>698.05423880787305</v>
      </c>
      <c r="D159" s="216">
        <f ca="1">X_culmi+(Portee_balistique-X_culmi)*2/3</f>
        <v>671.19047168162979</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441.5129369838113</v>
      </c>
      <c r="E162" s="422"/>
      <c r="F162" s="423" t="s">
        <v>305</v>
      </c>
    </row>
    <row r="163" spans="2:6" x14ac:dyDescent="0.2">
      <c r="B163" s="231" t="e">
        <f ca="1">IF(AND(Altitude_culmi&gt;80, Altitude_culmi&lt;=350), 49, NA())</f>
        <v>#N/A</v>
      </c>
      <c r="C163" s="5">
        <v>23</v>
      </c>
      <c r="D163" s="82">
        <f t="shared" ca="1" si="0"/>
        <v>464.5129369838113</v>
      </c>
      <c r="E163" s="82"/>
      <c r="F163" s="214">
        <f t="shared" ref="F163:F178" ca="1" si="1">X_culmi-C162</f>
        <v>441.5129369838113</v>
      </c>
    </row>
    <row r="164" spans="2:6" x14ac:dyDescent="0.2">
      <c r="B164" s="231" t="e">
        <f ca="1">IF(AND(Altitude_culmi&gt;80, Altitude_culmi&lt;=350), 43, NA())</f>
        <v>#N/A</v>
      </c>
      <c r="C164" s="5">
        <v>23</v>
      </c>
      <c r="D164" s="82">
        <f t="shared" ca="1" si="0"/>
        <v>464.5129369838113</v>
      </c>
      <c r="E164" s="82"/>
      <c r="F164" s="214">
        <f t="shared" ca="1" si="1"/>
        <v>418.5129369838113</v>
      </c>
    </row>
    <row r="165" spans="2:6" x14ac:dyDescent="0.2">
      <c r="B165" s="231" t="e">
        <f ca="1">IF(AND(Altitude_culmi&gt;80, Altitude_culmi&lt;=350), 43, NA())</f>
        <v>#N/A</v>
      </c>
      <c r="C165" s="5">
        <v>0</v>
      </c>
      <c r="D165" s="82">
        <f t="shared" ca="1" si="0"/>
        <v>441.5129369838113</v>
      </c>
      <c r="E165" s="82"/>
      <c r="F165" s="214">
        <f t="shared" ca="1" si="1"/>
        <v>418.5129369838113</v>
      </c>
    </row>
    <row r="166" spans="2:6" x14ac:dyDescent="0.2">
      <c r="B166" s="231" t="e">
        <f ca="1">IF(AND(Altitude_culmi&gt;80, Altitude_culmi&lt;=350), 43, NA())</f>
        <v>#N/A</v>
      </c>
      <c r="C166" s="5">
        <v>23</v>
      </c>
      <c r="D166" s="82">
        <f t="shared" ca="1" si="0"/>
        <v>464.5129369838113</v>
      </c>
      <c r="E166" s="82"/>
      <c r="F166" s="214">
        <f t="shared" ca="1" si="1"/>
        <v>441.5129369838113</v>
      </c>
    </row>
    <row r="167" spans="2:6" x14ac:dyDescent="0.2">
      <c r="B167" s="231" t="e">
        <f ca="1">IF(AND(Altitude_culmi&gt;80, Altitude_culmi&lt;=350), 0.5, NA())</f>
        <v>#N/A</v>
      </c>
      <c r="C167" s="5">
        <v>23</v>
      </c>
      <c r="D167" s="82">
        <f t="shared" ca="1" si="0"/>
        <v>464.5129369838113</v>
      </c>
      <c r="E167" s="82"/>
      <c r="F167" s="214">
        <f t="shared" ca="1" si="1"/>
        <v>418.5129369838113</v>
      </c>
    </row>
    <row r="168" spans="2:6" x14ac:dyDescent="0.2">
      <c r="B168" s="231" t="e">
        <f ca="1">IF(AND(Altitude_culmi&gt;80, Altitude_culmi&lt;=350), 0.5, NA())</f>
        <v>#N/A</v>
      </c>
      <c r="C168" s="5">
        <v>8</v>
      </c>
      <c r="D168" s="82">
        <f t="shared" ca="1" si="0"/>
        <v>449.5129369838113</v>
      </c>
      <c r="E168" s="82"/>
      <c r="F168" s="214">
        <f t="shared" ca="1" si="1"/>
        <v>418.5129369838113</v>
      </c>
    </row>
    <row r="169" spans="2:6" x14ac:dyDescent="0.2">
      <c r="B169" s="231" t="e">
        <f ca="1">IF(AND(Altitude_culmi&gt;80, Altitude_culmi&lt;=350), 27, NA())</f>
        <v>#N/A</v>
      </c>
      <c r="C169" s="5">
        <v>8</v>
      </c>
      <c r="D169" s="82">
        <f t="shared" ca="1" si="0"/>
        <v>449.5129369838113</v>
      </c>
      <c r="E169" s="82"/>
      <c r="F169" s="214">
        <f t="shared" ca="1" si="1"/>
        <v>433.5129369838113</v>
      </c>
    </row>
    <row r="170" spans="2:6" x14ac:dyDescent="0.2">
      <c r="B170" s="231" t="e">
        <f ca="1">IF(AND(Altitude_culmi&gt;80, Altitude_culmi&lt;=350), 27, NA())</f>
        <v>#N/A</v>
      </c>
      <c r="C170" s="5">
        <v>23</v>
      </c>
      <c r="D170" s="82">
        <f t="shared" ca="1" si="0"/>
        <v>464.5129369838113</v>
      </c>
      <c r="E170" s="82"/>
      <c r="F170" s="214">
        <f t="shared" ca="1" si="1"/>
        <v>433.5129369838113</v>
      </c>
    </row>
    <row r="171" spans="2:6" x14ac:dyDescent="0.2">
      <c r="B171" s="231" t="e">
        <f ca="1">IF(AND(Altitude_culmi&gt;80, Altitude_culmi&lt;=350), 27, NA())</f>
        <v>#N/A</v>
      </c>
      <c r="C171" s="5">
        <v>8</v>
      </c>
      <c r="D171" s="82">
        <f t="shared" ca="1" si="0"/>
        <v>449.5129369838113</v>
      </c>
      <c r="E171" s="82"/>
      <c r="F171" s="214">
        <f t="shared" ca="1" si="1"/>
        <v>418.5129369838113</v>
      </c>
    </row>
    <row r="172" spans="2:6" x14ac:dyDescent="0.2">
      <c r="B172" s="231" t="e">
        <f ca="1">IF(AND(Altitude_culmi&gt;80, Altitude_culmi&lt;=350), 29, NA())</f>
        <v>#N/A</v>
      </c>
      <c r="C172" s="5">
        <v>7.6</v>
      </c>
      <c r="D172" s="82">
        <f t="shared" ca="1" si="0"/>
        <v>449.11293698381132</v>
      </c>
      <c r="E172" s="82"/>
      <c r="F172" s="214">
        <f t="shared" ca="1" si="1"/>
        <v>433.5129369838113</v>
      </c>
    </row>
    <row r="173" spans="2:6" x14ac:dyDescent="0.2">
      <c r="B173" s="231" t="e">
        <f ca="1">IF(AND(Altitude_culmi&gt;80, Altitude_culmi&lt;=350), 31, NA())</f>
        <v>#N/A</v>
      </c>
      <c r="C173" s="5">
        <v>6.8</v>
      </c>
      <c r="D173" s="82">
        <f t="shared" ca="1" si="0"/>
        <v>448.31293698381131</v>
      </c>
      <c r="E173" s="82"/>
      <c r="F173" s="214">
        <f t="shared" ca="1" si="1"/>
        <v>433.91293698381128</v>
      </c>
    </row>
    <row r="174" spans="2:6" x14ac:dyDescent="0.2">
      <c r="B174" s="231" t="e">
        <f ca="1">IF(AND(Altitude_culmi&gt;80, Altitude_culmi&lt;=350), 32, NA())</f>
        <v>#N/A</v>
      </c>
      <c r="C174" s="5">
        <v>6</v>
      </c>
      <c r="D174" s="82">
        <f t="shared" ca="1" si="0"/>
        <v>447.5129369838113</v>
      </c>
      <c r="E174" s="82"/>
      <c r="F174" s="214">
        <f t="shared" ca="1" si="1"/>
        <v>434.71293698381129</v>
      </c>
    </row>
    <row r="175" spans="2:6" x14ac:dyDescent="0.2">
      <c r="B175" s="231" t="e">
        <f ca="1">IF(AND(Altitude_culmi&gt;80, Altitude_culmi&lt;=350), 33, NA())</f>
        <v>#N/A</v>
      </c>
      <c r="C175" s="5">
        <v>5</v>
      </c>
      <c r="D175" s="82">
        <f t="shared" ca="1" si="0"/>
        <v>446.5129369838113</v>
      </c>
      <c r="E175" s="82"/>
      <c r="F175" s="214">
        <f t="shared" ca="1" si="1"/>
        <v>435.5129369838113</v>
      </c>
    </row>
    <row r="176" spans="2:6" x14ac:dyDescent="0.2">
      <c r="B176" s="231" t="e">
        <f ca="1">IF(AND(Altitude_culmi&gt;80, Altitude_culmi&lt;=350), 34, NA())</f>
        <v>#N/A</v>
      </c>
      <c r="C176" s="5">
        <v>3.8</v>
      </c>
      <c r="D176" s="82">
        <f t="shared" ca="1" si="0"/>
        <v>445.31293698381131</v>
      </c>
      <c r="E176" s="82"/>
      <c r="F176" s="214">
        <f t="shared" ca="1" si="1"/>
        <v>436.5129369838113</v>
      </c>
    </row>
    <row r="177" spans="2:6" x14ac:dyDescent="0.2">
      <c r="B177" s="229" t="e">
        <f ca="1">IF(AND(Altitude_culmi&gt;80, Altitude_culmi&lt;=350), 35, NA())</f>
        <v>#N/A</v>
      </c>
      <c r="C177" s="421">
        <v>0</v>
      </c>
      <c r="D177" s="230">
        <f t="shared" ca="1" si="0"/>
        <v>441.5129369838113</v>
      </c>
      <c r="E177" s="82"/>
      <c r="F177" s="214">
        <f t="shared" ca="1" si="1"/>
        <v>437.71293698381129</v>
      </c>
    </row>
    <row r="178" spans="2:6" x14ac:dyDescent="0.2">
      <c r="E178" s="230"/>
      <c r="F178" s="216">
        <f t="shared" ca="1" si="1"/>
        <v>441.5129369838113</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441.5129369838113</v>
      </c>
      <c r="E180" s="228"/>
      <c r="F180" s="211" t="s">
        <v>308</v>
      </c>
    </row>
    <row r="181" spans="2:6" x14ac:dyDescent="0.2">
      <c r="B181" s="231">
        <f ca="1">IF(Altitude_culmi&gt;350, 300, NA())</f>
        <v>300</v>
      </c>
      <c r="C181" s="5">
        <v>0</v>
      </c>
      <c r="D181" s="82">
        <f t="shared" ca="1" si="2"/>
        <v>441.5129369838113</v>
      </c>
      <c r="E181" s="82"/>
      <c r="F181" s="214">
        <f t="shared" ref="F181:F201" ca="1" si="3">X_culmi-C180</f>
        <v>441.5129369838113</v>
      </c>
    </row>
    <row r="182" spans="2:6" x14ac:dyDescent="0.2">
      <c r="B182" s="231">
        <f ca="1">IF(Altitude_culmi&gt;350, 280, NA())</f>
        <v>280</v>
      </c>
      <c r="C182" s="5">
        <v>10</v>
      </c>
      <c r="D182" s="82">
        <f t="shared" ca="1" si="2"/>
        <v>451.5129369838113</v>
      </c>
      <c r="E182" s="82"/>
      <c r="F182" s="214">
        <f t="shared" ca="1" si="3"/>
        <v>441.5129369838113</v>
      </c>
    </row>
    <row r="183" spans="2:6" x14ac:dyDescent="0.2">
      <c r="B183" s="231">
        <f ca="1">IF(Altitude_culmi&gt;350, 280, NA())</f>
        <v>280</v>
      </c>
      <c r="C183" s="5">
        <v>0</v>
      </c>
      <c r="D183" s="82">
        <f t="shared" ca="1" si="2"/>
        <v>441.5129369838113</v>
      </c>
      <c r="E183" s="82"/>
      <c r="F183" s="214">
        <f t="shared" ca="1" si="3"/>
        <v>431.5129369838113</v>
      </c>
    </row>
    <row r="184" spans="2:6" x14ac:dyDescent="0.2">
      <c r="B184" s="231">
        <f ca="1">IF(Altitude_culmi&gt;350, 280, NA())</f>
        <v>280</v>
      </c>
      <c r="C184" s="5">
        <v>10</v>
      </c>
      <c r="D184" s="82">
        <f t="shared" ca="1" si="2"/>
        <v>451.5129369838113</v>
      </c>
      <c r="E184" s="82"/>
      <c r="F184" s="214">
        <f t="shared" ca="1" si="3"/>
        <v>441.5129369838113</v>
      </c>
    </row>
    <row r="185" spans="2:6" x14ac:dyDescent="0.2">
      <c r="B185" s="231">
        <f ca="1">IF(Altitude_culmi&gt;350, 200, NA())</f>
        <v>200</v>
      </c>
      <c r="C185" s="5">
        <v>13</v>
      </c>
      <c r="D185" s="82">
        <f t="shared" ca="1" si="2"/>
        <v>454.5129369838113</v>
      </c>
      <c r="E185" s="82"/>
      <c r="F185" s="214">
        <f t="shared" ca="1" si="3"/>
        <v>431.5129369838113</v>
      </c>
    </row>
    <row r="186" spans="2:6" x14ac:dyDescent="0.2">
      <c r="B186" s="231">
        <f ca="1">IF(Altitude_culmi&gt;350, 160, NA())</f>
        <v>160</v>
      </c>
      <c r="C186" s="5">
        <v>17</v>
      </c>
      <c r="D186" s="82">
        <f t="shared" ca="1" si="2"/>
        <v>458.5129369838113</v>
      </c>
      <c r="E186" s="82"/>
      <c r="F186" s="214">
        <f t="shared" ca="1" si="3"/>
        <v>428.5129369838113</v>
      </c>
    </row>
    <row r="187" spans="2:6" x14ac:dyDescent="0.2">
      <c r="B187" s="231">
        <f ca="1">IF(Altitude_culmi&gt;350, 115, NA())</f>
        <v>115</v>
      </c>
      <c r="C187" s="5">
        <v>20</v>
      </c>
      <c r="D187" s="82">
        <f t="shared" ca="1" si="2"/>
        <v>461.5129369838113</v>
      </c>
      <c r="E187" s="82"/>
      <c r="F187" s="214">
        <f t="shared" ca="1" si="3"/>
        <v>424.5129369838113</v>
      </c>
    </row>
    <row r="188" spans="2:6" x14ac:dyDescent="0.2">
      <c r="B188" s="231">
        <f ca="1">IF(Altitude_culmi&gt;350, 90, NA())</f>
        <v>90</v>
      </c>
      <c r="C188" s="5">
        <v>25</v>
      </c>
      <c r="D188" s="82">
        <f t="shared" ca="1" si="2"/>
        <v>466.5129369838113</v>
      </c>
      <c r="E188" s="82"/>
      <c r="F188" s="214">
        <f t="shared" ca="1" si="3"/>
        <v>421.5129369838113</v>
      </c>
    </row>
    <row r="189" spans="2:6" x14ac:dyDescent="0.2">
      <c r="B189" s="231">
        <f ca="1">IF(Altitude_culmi&gt;350, 57, NA())</f>
        <v>57</v>
      </c>
      <c r="C189" s="5">
        <v>30</v>
      </c>
      <c r="D189" s="82">
        <f t="shared" ca="1" si="2"/>
        <v>471.5129369838113</v>
      </c>
      <c r="E189" s="82"/>
      <c r="F189" s="214">
        <f t="shared" ca="1" si="3"/>
        <v>416.5129369838113</v>
      </c>
    </row>
    <row r="190" spans="2:6" x14ac:dyDescent="0.2">
      <c r="B190" s="231">
        <f ca="1">IF(Altitude_culmi&gt;350, 40, NA())</f>
        <v>40</v>
      </c>
      <c r="C190" s="5">
        <v>36</v>
      </c>
      <c r="D190" s="82">
        <f t="shared" ca="1" si="2"/>
        <v>477.5129369838113</v>
      </c>
      <c r="E190" s="82"/>
      <c r="F190" s="214">
        <f t="shared" ca="1" si="3"/>
        <v>411.5129369838113</v>
      </c>
    </row>
    <row r="191" spans="2:6" x14ac:dyDescent="0.2">
      <c r="B191" s="231">
        <f ca="1">IF(Altitude_culmi&gt;350, 20, NA())</f>
        <v>20</v>
      </c>
      <c r="C191" s="5">
        <v>48</v>
      </c>
      <c r="D191" s="82">
        <f t="shared" ca="1" si="2"/>
        <v>489.5129369838113</v>
      </c>
      <c r="E191" s="82"/>
      <c r="F191" s="214">
        <f t="shared" ca="1" si="3"/>
        <v>405.5129369838113</v>
      </c>
    </row>
    <row r="192" spans="2:6" x14ac:dyDescent="0.2">
      <c r="B192" s="231">
        <f ca="1">IF(Altitude_culmi&gt;350, 0.5, NA())</f>
        <v>0.5</v>
      </c>
      <c r="C192" s="5">
        <v>62</v>
      </c>
      <c r="D192" s="82">
        <f t="shared" ca="1" si="2"/>
        <v>503.5129369838113</v>
      </c>
      <c r="E192" s="82"/>
      <c r="F192" s="214">
        <f t="shared" ca="1" si="3"/>
        <v>393.5129369838113</v>
      </c>
    </row>
    <row r="193" spans="2:6" x14ac:dyDescent="0.2">
      <c r="B193" s="231">
        <f ca="1">IF(Altitude_culmi&gt;350, 0.5, NA())</f>
        <v>0.5</v>
      </c>
      <c r="C193" s="5">
        <v>37</v>
      </c>
      <c r="D193" s="82">
        <f t="shared" ca="1" si="2"/>
        <v>478.5129369838113</v>
      </c>
      <c r="E193" s="82"/>
      <c r="F193" s="214">
        <f t="shared" ca="1" si="3"/>
        <v>379.5129369838113</v>
      </c>
    </row>
    <row r="194" spans="2:6" x14ac:dyDescent="0.2">
      <c r="B194" s="231">
        <f ca="1">IF(Altitude_culmi&gt;350, 15, NA())</f>
        <v>15</v>
      </c>
      <c r="C194" s="5">
        <v>30</v>
      </c>
      <c r="D194" s="82">
        <f t="shared" ca="1" si="2"/>
        <v>471.5129369838113</v>
      </c>
      <c r="E194" s="82"/>
      <c r="F194" s="214">
        <f t="shared" ca="1" si="3"/>
        <v>404.5129369838113</v>
      </c>
    </row>
    <row r="195" spans="2:6" x14ac:dyDescent="0.2">
      <c r="B195" s="231">
        <f ca="1">IF(Altitude_culmi&gt;350, 30, NA())</f>
        <v>30</v>
      </c>
      <c r="C195" s="5">
        <v>15</v>
      </c>
      <c r="D195" s="82">
        <f t="shared" ca="1" si="2"/>
        <v>456.5129369838113</v>
      </c>
      <c r="E195" s="82"/>
      <c r="F195" s="214">
        <f t="shared" ca="1" si="3"/>
        <v>411.5129369838113</v>
      </c>
    </row>
    <row r="196" spans="2:6" x14ac:dyDescent="0.2">
      <c r="B196" s="231">
        <f ca="1">IF(Altitude_culmi&gt;350, 37, NA())</f>
        <v>37</v>
      </c>
      <c r="C196" s="5">
        <v>0</v>
      </c>
      <c r="D196" s="82">
        <f t="shared" ca="1" si="2"/>
        <v>441.5129369838113</v>
      </c>
      <c r="E196" s="82"/>
      <c r="F196" s="214">
        <f t="shared" ca="1" si="3"/>
        <v>426.5129369838113</v>
      </c>
    </row>
    <row r="197" spans="2:6" x14ac:dyDescent="0.2">
      <c r="B197" s="231">
        <f ca="1">IF(Altitude_culmi&gt;350, 67, NA())</f>
        <v>67</v>
      </c>
      <c r="C197" s="5">
        <v>0</v>
      </c>
      <c r="D197" s="82">
        <f t="shared" ca="1" si="2"/>
        <v>441.5129369838113</v>
      </c>
      <c r="E197" s="82"/>
      <c r="F197" s="214">
        <f t="shared" ca="1" si="3"/>
        <v>441.5129369838113</v>
      </c>
    </row>
    <row r="198" spans="2:6" x14ac:dyDescent="0.2">
      <c r="B198" s="231">
        <f ca="1">IF(Altitude_culmi&gt;350, 67, NA())</f>
        <v>67</v>
      </c>
      <c r="C198" s="5">
        <v>17</v>
      </c>
      <c r="D198" s="82">
        <f t="shared" ca="1" si="2"/>
        <v>458.5129369838113</v>
      </c>
      <c r="E198" s="82"/>
      <c r="F198" s="214">
        <f t="shared" ca="1" si="3"/>
        <v>441.5129369838113</v>
      </c>
    </row>
    <row r="199" spans="2:6" x14ac:dyDescent="0.2">
      <c r="B199" s="231">
        <f ca="1">IF(Altitude_culmi&gt;350, 100, NA())</f>
        <v>100</v>
      </c>
      <c r="C199" s="5">
        <v>11</v>
      </c>
      <c r="D199" s="82">
        <f t="shared" ca="1" si="2"/>
        <v>452.5129369838113</v>
      </c>
      <c r="E199" s="82"/>
      <c r="F199" s="214">
        <f t="shared" ca="1" si="3"/>
        <v>424.5129369838113</v>
      </c>
    </row>
    <row r="200" spans="2:6" x14ac:dyDescent="0.2">
      <c r="B200" s="229">
        <f ca="1">IF(Altitude_culmi&gt;350, 100, NA())</f>
        <v>100</v>
      </c>
      <c r="C200" s="421">
        <v>0</v>
      </c>
      <c r="D200" s="230">
        <f t="shared" ca="1" si="2"/>
        <v>441.5129369838113</v>
      </c>
      <c r="E200" s="82"/>
      <c r="F200" s="214">
        <f t="shared" ca="1" si="3"/>
        <v>430.5129369838113</v>
      </c>
    </row>
    <row r="201" spans="2:6" x14ac:dyDescent="0.2">
      <c r="E201" s="230"/>
      <c r="F201" s="216">
        <f t="shared" ca="1" si="3"/>
        <v>441.5129369838113</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F51:G51"/>
    <mergeCell ref="F42:G42"/>
    <mergeCell ref="F43:G43"/>
    <mergeCell ref="F44:G44"/>
    <mergeCell ref="F45:G45"/>
    <mergeCell ref="F50:G50"/>
    <mergeCell ref="F46:G46"/>
    <mergeCell ref="F47:G47"/>
    <mergeCell ref="F49:G49"/>
    <mergeCell ref="F48:G48"/>
    <mergeCell ref="C16:D16"/>
    <mergeCell ref="C11:D11"/>
    <mergeCell ref="C20:D20"/>
    <mergeCell ref="C21:D21"/>
    <mergeCell ref="C12:D12"/>
    <mergeCell ref="C14:D14"/>
    <mergeCell ref="C15:D15"/>
    <mergeCell ref="C19:D19"/>
    <mergeCell ref="C23:D23"/>
    <mergeCell ref="C18:D18"/>
    <mergeCell ref="F24:G24"/>
    <mergeCell ref="F28:G28"/>
    <mergeCell ref="F27:G27"/>
    <mergeCell ref="F25:G25"/>
    <mergeCell ref="F26:G26"/>
    <mergeCell ref="H35:I35"/>
    <mergeCell ref="H34:I34"/>
    <mergeCell ref="F29:G29"/>
    <mergeCell ref="H33:I33"/>
    <mergeCell ref="A40:D40"/>
    <mergeCell ref="H36:I36"/>
    <mergeCell ref="F36:G36"/>
    <mergeCell ref="F35:G35"/>
    <mergeCell ref="F34:G34"/>
    <mergeCell ref="F40:G40"/>
    <mergeCell ref="C10:D10"/>
    <mergeCell ref="C5:D5"/>
    <mergeCell ref="C2:D3"/>
    <mergeCell ref="C7:D7"/>
    <mergeCell ref="C8:D8"/>
    <mergeCell ref="C9:D9"/>
    <mergeCell ref="C6:D6"/>
    <mergeCell ref="C4:D4"/>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B2" sqref="B2"/>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Pro54-5G WT</v>
      </c>
      <c r="B2" s="352">
        <f>VLOOKUP(A2,A26:B314,2,FALSE)</f>
        <v>284</v>
      </c>
      <c r="C2" s="363" t="s">
        <v>115</v>
      </c>
      <c r="D2" s="353">
        <f ca="1">INDIRECT(ADDRESS(B2,4))</f>
        <v>1998.2428999999995</v>
      </c>
      <c r="E2" s="363" t="s">
        <v>114</v>
      </c>
      <c r="F2" s="354">
        <f ca="1">INDIRECT(ADDRESS(B2,6))</f>
        <v>207.42819268753979</v>
      </c>
      <c r="G2" s="363" t="s">
        <v>56</v>
      </c>
      <c r="H2" s="355">
        <f ca="1">INDIRECT(ADDRESS(B2,8))</f>
        <v>1.6319999999999999</v>
      </c>
      <c r="I2" s="363" t="s">
        <v>273</v>
      </c>
      <c r="J2" s="356">
        <f ca="1">INDIRECT(ADDRESS(B2,10))</f>
        <v>0.98199999999999987</v>
      </c>
      <c r="K2" s="363" t="s">
        <v>58</v>
      </c>
      <c r="L2" s="355">
        <f ca="1">INDIRECT(ADDRESS(B2,12))</f>
        <v>0.65</v>
      </c>
      <c r="M2" s="363" t="s">
        <v>57</v>
      </c>
      <c r="N2" s="357">
        <f ca="1">INDIRECT(ADDRESS(B2,14))</f>
        <v>250</v>
      </c>
      <c r="O2" s="363" t="s">
        <v>59</v>
      </c>
      <c r="P2" s="357">
        <f ca="1">INDIRECT(ADDRESS(B2,16))</f>
        <v>240</v>
      </c>
      <c r="Q2" s="363" t="s">
        <v>60</v>
      </c>
      <c r="R2" s="357">
        <f ca="1">INDIRECT(ADDRESS(B2,18))</f>
        <v>488</v>
      </c>
      <c r="S2" s="363" t="s">
        <v>61</v>
      </c>
      <c r="T2" s="357">
        <f ca="1">INDIRECT(ADDRESS(B2,20))</f>
        <v>54</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0.01</v>
      </c>
      <c r="D3" s="365">
        <f t="shared" ca="1" si="0"/>
        <v>0.02</v>
      </c>
      <c r="E3" s="365">
        <f t="shared" ca="1" si="0"/>
        <v>0.05</v>
      </c>
      <c r="F3" s="365">
        <f t="shared" ca="1" si="0"/>
        <v>0.1</v>
      </c>
      <c r="G3" s="365">
        <f t="shared" ca="1" si="0"/>
        <v>0.2</v>
      </c>
      <c r="H3" s="365">
        <f t="shared" ca="1" si="0"/>
        <v>0.4</v>
      </c>
      <c r="I3" s="365">
        <f t="shared" ca="1" si="0"/>
        <v>0.8</v>
      </c>
      <c r="J3" s="365">
        <f t="shared" ca="1" si="0"/>
        <v>0.9</v>
      </c>
      <c r="K3" s="365">
        <f t="shared" ca="1" si="0"/>
        <v>1</v>
      </c>
      <c r="L3" s="365">
        <f t="shared" ca="1" si="0"/>
        <v>1.1000000000000001</v>
      </c>
      <c r="M3" s="365">
        <f t="shared" ca="1" si="0"/>
        <v>1.2</v>
      </c>
      <c r="N3" s="365">
        <f t="shared" ca="1" si="0"/>
        <v>1.3</v>
      </c>
      <c r="O3" s="365">
        <f t="shared" ca="1" si="0"/>
        <v>1.4</v>
      </c>
      <c r="P3" s="365">
        <f t="shared" ca="1" si="0"/>
        <v>1.55</v>
      </c>
      <c r="Q3" s="365">
        <f t="shared" ca="1" si="0"/>
        <v>1.6</v>
      </c>
      <c r="R3" s="365">
        <f t="shared" ca="1" si="0"/>
        <v>1.62</v>
      </c>
      <c r="S3" s="365">
        <f t="shared" ca="1" si="0"/>
        <v>1.64</v>
      </c>
      <c r="T3" s="365">
        <f t="shared" ca="1" si="0"/>
        <v>1.66</v>
      </c>
      <c r="U3" s="365">
        <f t="shared" ca="1" si="0"/>
        <v>1.67</v>
      </c>
      <c r="V3" s="365">
        <f t="shared" ca="1" si="0"/>
        <v>1.68</v>
      </c>
      <c r="W3" s="365">
        <f t="shared" ca="1" si="0"/>
        <v>1.69</v>
      </c>
      <c r="X3" s="365">
        <f ca="1">INDIRECT(ADDRESS($B2+1,COLUMN(X3)))</f>
        <v>1.7</v>
      </c>
      <c r="Y3" s="366">
        <f t="shared" ca="1" si="0"/>
        <v>1000</v>
      </c>
    </row>
    <row r="4" spans="1:26" ht="13.5" thickBot="1" x14ac:dyDescent="0.25">
      <c r="A4" s="379" t="str">
        <f>IF(Lang="Français","Poussée (en N)","Thrust (N)")</f>
        <v>Poussée (en N)</v>
      </c>
      <c r="B4" s="367">
        <f t="shared" ref="B4:Y4" ca="1" si="1">INDIRECT(ADDRESS($B2+2,COLUMN(B3)))</f>
        <v>0</v>
      </c>
      <c r="C4" s="368">
        <f t="shared" ca="1" si="1"/>
        <v>492.25</v>
      </c>
      <c r="D4" s="368">
        <f t="shared" ca="1" si="1"/>
        <v>1369.46</v>
      </c>
      <c r="E4" s="368">
        <f t="shared" ca="1" si="1"/>
        <v>1236.01</v>
      </c>
      <c r="F4" s="368">
        <f t="shared" ca="1" si="1"/>
        <v>1279.47</v>
      </c>
      <c r="G4" s="368">
        <f t="shared" ca="1" si="1"/>
        <v>1311.39</v>
      </c>
      <c r="H4" s="368">
        <f t="shared" ca="1" si="1"/>
        <v>1331.39</v>
      </c>
      <c r="I4" s="368">
        <f t="shared" ca="1" si="1"/>
        <v>1304.08</v>
      </c>
      <c r="J4" s="368">
        <f t="shared" ca="1" si="1"/>
        <v>1280.6199999999999</v>
      </c>
      <c r="K4" s="368">
        <f t="shared" ca="1" si="1"/>
        <v>1249.8599999999999</v>
      </c>
      <c r="L4" s="368">
        <f t="shared" ca="1" si="1"/>
        <v>1217.94</v>
      </c>
      <c r="M4" s="368">
        <f t="shared" ca="1" si="1"/>
        <v>1199.29</v>
      </c>
      <c r="N4" s="368">
        <f t="shared" ca="1" si="1"/>
        <v>1158.77</v>
      </c>
      <c r="O4" s="368">
        <f t="shared" ca="1" si="1"/>
        <v>1112.56</v>
      </c>
      <c r="P4" s="368">
        <f t="shared" ca="1" si="1"/>
        <v>941.81</v>
      </c>
      <c r="Q4" s="368">
        <f t="shared" ca="1" si="1"/>
        <v>726.07</v>
      </c>
      <c r="R4" s="368">
        <f t="shared" ca="1" si="1"/>
        <v>559.16999999999996</v>
      </c>
      <c r="S4" s="368">
        <f t="shared" ca="1" si="1"/>
        <v>399.95</v>
      </c>
      <c r="T4" s="368">
        <f t="shared" ca="1" si="1"/>
        <v>317.66000000000003</v>
      </c>
      <c r="U4" s="368">
        <f t="shared" ca="1" si="1"/>
        <v>247.28</v>
      </c>
      <c r="V4" s="368">
        <f t="shared" ca="1" si="1"/>
        <v>198.05</v>
      </c>
      <c r="W4" s="368">
        <f t="shared" ca="1" si="1"/>
        <v>67.3</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541</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539</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540</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544</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536</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548</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538</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537</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549</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552</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550</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556</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551</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40" t="s">
        <v>276</v>
      </c>
      <c r="D316" s="641"/>
      <c r="F316" s="640" t="s">
        <v>181</v>
      </c>
      <c r="G316" s="641"/>
      <c r="H316" s="12"/>
      <c r="I316" s="640" t="s">
        <v>397</v>
      </c>
      <c r="J316" s="641"/>
      <c r="K316" s="12"/>
      <c r="L316" s="640" t="s">
        <v>182</v>
      </c>
      <c r="M316" s="641"/>
      <c r="O316" s="640" t="s">
        <v>396</v>
      </c>
      <c r="P316" s="641"/>
      <c r="R316" s="640" t="s">
        <v>118</v>
      </c>
      <c r="S316" s="641"/>
    </row>
    <row r="317" spans="1:25" x14ac:dyDescent="0.2">
      <c r="A317" s="398" t="str">
        <f t="array" ref="A317:A346">IF(RIGHT(Type_fusee,1)=".",Liste_fusex, IF(LEFT(Type_fusee,4)="Mini",Liste_minif, IF(LEFT(Type_fusee,5)="Micro",Liste_µfu, IF(RIGHT(Type_fusee,1)=" ",Liste_H2O, IF(LEFT(Type_fusee,1)="R",Liste_RC, IF(LEFT(Type_fusee,1)=",",Liste_minifT))))))</f>
        <v>Pro54-5G WT</v>
      </c>
      <c r="C317" s="642" t="str">
        <f>A26</f>
        <v>H2O 1.5L 300g 6bar</v>
      </c>
      <c r="D317" s="643"/>
      <c r="F317" s="642" t="str">
        <f>A67</f>
        <v>µ-propu A8-3</v>
      </c>
      <c r="G317" s="643"/>
      <c r="H317" s="472"/>
      <c r="I317" s="644" t="str">
        <f>A148</f>
        <v>p29-1G 56F31</v>
      </c>
      <c r="J317" s="645"/>
      <c r="K317" s="472"/>
      <c r="L317" s="644" t="str">
        <f>A158</f>
        <v>p29-1G 57F59</v>
      </c>
      <c r="M317" s="645"/>
      <c r="O317" s="642" t="str">
        <f>A108</f>
        <v>p24-1G 24E22</v>
      </c>
      <c r="P317" s="643"/>
      <c r="R317" s="642" t="str">
        <f>A284</f>
        <v>Pro54-5G WT</v>
      </c>
      <c r="S317" s="643"/>
    </row>
    <row r="318" spans="1:25" x14ac:dyDescent="0.2">
      <c r="A318" s="398" t="str">
        <v>Barasinga (Pro54-5G C)</v>
      </c>
      <c r="C318" s="642" t="str">
        <f>A31</f>
        <v>H2O 1.5L 450g 6bar</v>
      </c>
      <c r="D318" s="643"/>
      <c r="F318" s="642" t="str">
        <f>A72</f>
        <v>µ-propu B4-4</v>
      </c>
      <c r="G318" s="643"/>
      <c r="H318" s="472"/>
      <c r="I318" s="644" t="str">
        <f>A153</f>
        <v>p29-1G 56F120</v>
      </c>
      <c r="J318" s="645"/>
      <c r="K318" s="472"/>
      <c r="L318" s="644" t="str">
        <f>A183</f>
        <v>p24-3G 74F85</v>
      </c>
      <c r="M318" s="645"/>
      <c r="O318" s="642" t="str">
        <f>A113</f>
        <v>p24-1G 25E75 (Rufina)</v>
      </c>
      <c r="P318" s="643"/>
      <c r="R318" s="642" t="str">
        <f>A279</f>
        <v>Barasinga (Pro54-5G C)</v>
      </c>
      <c r="S318" s="643"/>
    </row>
    <row r="319" spans="1:25" x14ac:dyDescent="0.2">
      <c r="A319" s="398" t="str">
        <v>Orignal (Pro75-3G C)</v>
      </c>
      <c r="C319" s="642" t="str">
        <f>A36</f>
        <v>H2O 1.5L 600g 6bar</v>
      </c>
      <c r="D319" s="643"/>
      <c r="F319" s="642" t="str">
        <f>A77</f>
        <v>µ-propu C6-3</v>
      </c>
      <c r="G319" s="643"/>
      <c r="H319" s="472"/>
      <c r="I319" s="644" t="str">
        <f>A158</f>
        <v>p29-1G 57F59</v>
      </c>
      <c r="J319" s="645"/>
      <c r="K319" s="472"/>
      <c r="L319" s="644" t="str">
        <f>A188</f>
        <v>p24-3G 75F51</v>
      </c>
      <c r="M319" s="645"/>
      <c r="O319" s="642" t="str">
        <f>A118</f>
        <v>p24-1G 26E31</v>
      </c>
      <c r="P319" s="643"/>
      <c r="R319" s="642" t="str">
        <f>A289</f>
        <v>Orignal (Pro75-3G C)</v>
      </c>
      <c r="S319" s="643"/>
    </row>
    <row r="320" spans="1:25" x14ac:dyDescent="0.2">
      <c r="A320" s="398" t="str">
        <v>Pro98-6G Green</v>
      </c>
      <c r="C320" s="642" t="str">
        <f>A41</f>
        <v>H2O 1.5L 750g 6bar</v>
      </c>
      <c r="D320" s="643"/>
      <c r="F320" s="642" t="str">
        <f>A82</f>
        <v>µ-propu C6-3 x2</v>
      </c>
      <c r="G320" s="643"/>
      <c r="H320" s="472"/>
      <c r="I320" s="644" t="str">
        <f>A183</f>
        <v>p24-3G 74F85</v>
      </c>
      <c r="J320" s="645"/>
      <c r="K320" s="472"/>
      <c r="L320" s="644" t="str">
        <f>A228</f>
        <v>p29-2G 116G126</v>
      </c>
      <c r="M320" s="645"/>
      <c r="O320" s="642" t="str">
        <f>A123</f>
        <v>p24-2G 50E51</v>
      </c>
      <c r="P320" s="643"/>
      <c r="R320" s="642" t="str">
        <f>A294</f>
        <v>Pro98-6G Green</v>
      </c>
      <c r="S320" s="643"/>
    </row>
    <row r="321" spans="1:19" x14ac:dyDescent="0.2">
      <c r="A321" s="398" t="str">
        <v xml:space="preserve"> </v>
      </c>
      <c r="C321" s="642" t="str">
        <f>A46</f>
        <v>H2O 2.0L 400g 6bar</v>
      </c>
      <c r="D321" s="643"/>
      <c r="F321" s="642" t="str">
        <f>A87</f>
        <v>µ-propu C6-3 x3</v>
      </c>
      <c r="G321" s="643"/>
      <c r="H321" s="472"/>
      <c r="I321" s="644" t="str">
        <f>A188</f>
        <v>p24-3G 75F51</v>
      </c>
      <c r="J321" s="645"/>
      <c r="K321" s="472"/>
      <c r="L321" s="644" t="str">
        <f>A198</f>
        <v>Pandora (Pro24-6G BS)</v>
      </c>
      <c r="M321" s="645"/>
      <c r="O321" s="642" t="str">
        <f>A128</f>
        <v>p24-1G 53E70</v>
      </c>
      <c r="P321" s="643"/>
      <c r="R321" s="642" t="s">
        <v>183</v>
      </c>
      <c r="S321" s="643"/>
    </row>
    <row r="322" spans="1:19" x14ac:dyDescent="0.2">
      <c r="A322" s="398" t="str">
        <v xml:space="preserve"> </v>
      </c>
      <c r="C322" s="642" t="str">
        <f>A51</f>
        <v>H2O 2.0L 600g 6bar</v>
      </c>
      <c r="D322" s="643"/>
      <c r="F322" s="642" t="s">
        <v>183</v>
      </c>
      <c r="G322" s="643"/>
      <c r="H322" s="472"/>
      <c r="I322" s="644" t="s">
        <v>183</v>
      </c>
      <c r="J322" s="645"/>
      <c r="K322" s="472"/>
      <c r="L322" s="642" t="str">
        <f>A92</f>
        <v>Klima D9-7</v>
      </c>
      <c r="M322" s="643"/>
      <c r="O322" s="642" t="str">
        <f>A133</f>
        <v>p29-1G 41F36</v>
      </c>
      <c r="P322" s="643"/>
      <c r="R322" s="642" t="s">
        <v>183</v>
      </c>
      <c r="S322" s="643"/>
    </row>
    <row r="323" spans="1:19" x14ac:dyDescent="0.2">
      <c r="A323" s="398" t="str">
        <v xml:space="preserve"> </v>
      </c>
      <c r="C323" s="642" t="str">
        <f>A56</f>
        <v>H2O 2.0L 800g 6bar</v>
      </c>
      <c r="D323" s="643"/>
      <c r="F323" s="642" t="s">
        <v>183</v>
      </c>
      <c r="G323" s="643"/>
      <c r="H323" s="472"/>
      <c r="I323" s="644" t="s">
        <v>183</v>
      </c>
      <c r="J323" s="645"/>
      <c r="K323" s="472"/>
      <c r="L323" s="642" t="str">
        <f>A97</f>
        <v>Klima D9-7 x2</v>
      </c>
      <c r="M323" s="643"/>
      <c r="O323" s="642" t="str">
        <f>A138</f>
        <v>p29-1G 51F36</v>
      </c>
      <c r="P323" s="643"/>
      <c r="R323" s="642" t="s">
        <v>183</v>
      </c>
      <c r="S323" s="643"/>
    </row>
    <row r="324" spans="1:19" x14ac:dyDescent="0.2">
      <c r="A324" s="398" t="str">
        <v xml:space="preserve"> </v>
      </c>
      <c r="C324" s="642" t="str">
        <f>A61</f>
        <v>H2O 2.0L 1000g 6bar</v>
      </c>
      <c r="D324" s="643"/>
      <c r="F324" s="642" t="s">
        <v>183</v>
      </c>
      <c r="G324" s="643"/>
      <c r="H324" s="472"/>
      <c r="I324" s="644" t="s">
        <v>183</v>
      </c>
      <c r="J324" s="645"/>
      <c r="K324" s="472"/>
      <c r="L324" s="642" t="str">
        <f>A102</f>
        <v>Klima D9-7 x3</v>
      </c>
      <c r="M324" s="643"/>
      <c r="O324" s="642" t="str">
        <f>A143</f>
        <v>p29-1G 55F29</v>
      </c>
      <c r="P324" s="643"/>
      <c r="R324" s="642" t="s">
        <v>183</v>
      </c>
      <c r="S324" s="643"/>
    </row>
    <row r="325" spans="1:19" x14ac:dyDescent="0.2">
      <c r="A325" s="398" t="str">
        <v xml:space="preserve"> </v>
      </c>
      <c r="C325" s="642" t="s">
        <v>183</v>
      </c>
      <c r="D325" s="643"/>
      <c r="F325" s="642" t="s">
        <v>183</v>
      </c>
      <c r="G325" s="643"/>
      <c r="H325" s="472"/>
      <c r="I325" s="644" t="s">
        <v>183</v>
      </c>
      <c r="J325" s="645"/>
      <c r="K325" s="472"/>
      <c r="L325" s="642" t="s">
        <v>183</v>
      </c>
      <c r="M325" s="643"/>
      <c r="O325" s="642" t="str">
        <f>A153</f>
        <v>p29-1G 56F120</v>
      </c>
      <c r="P325" s="643"/>
      <c r="R325" s="642" t="s">
        <v>183</v>
      </c>
      <c r="S325" s="643"/>
    </row>
    <row r="326" spans="1:19" x14ac:dyDescent="0.2">
      <c r="A326" s="398" t="str">
        <v xml:space="preserve"> </v>
      </c>
      <c r="C326" s="642" t="s">
        <v>183</v>
      </c>
      <c r="D326" s="643"/>
      <c r="F326" s="642" t="s">
        <v>183</v>
      </c>
      <c r="G326" s="643"/>
      <c r="H326" s="472"/>
      <c r="I326" s="644" t="s">
        <v>183</v>
      </c>
      <c r="J326" s="645"/>
      <c r="K326" s="472"/>
      <c r="L326" s="642" t="s">
        <v>183</v>
      </c>
      <c r="M326" s="643"/>
      <c r="O326" s="642" t="str">
        <f>A158</f>
        <v>p29-1G 57F59</v>
      </c>
      <c r="P326" s="643"/>
      <c r="R326" s="642" t="s">
        <v>183</v>
      </c>
      <c r="S326" s="643"/>
    </row>
    <row r="327" spans="1:19" x14ac:dyDescent="0.2">
      <c r="A327" s="398" t="str">
        <v xml:space="preserve"> </v>
      </c>
      <c r="C327" s="642" t="s">
        <v>183</v>
      </c>
      <c r="D327" s="643"/>
      <c r="F327" s="642" t="s">
        <v>183</v>
      </c>
      <c r="G327" s="643"/>
      <c r="H327" s="472"/>
      <c r="I327" s="644" t="s">
        <v>183</v>
      </c>
      <c r="J327" s="645"/>
      <c r="K327" s="472"/>
      <c r="L327" s="642" t="s">
        <v>183</v>
      </c>
      <c r="M327" s="643"/>
      <c r="O327" s="642" t="str">
        <f>A163</f>
        <v>p24-3G 60F50</v>
      </c>
      <c r="P327" s="643"/>
      <c r="R327" s="642" t="s">
        <v>183</v>
      </c>
      <c r="S327" s="643"/>
    </row>
    <row r="328" spans="1:19" x14ac:dyDescent="0.2">
      <c r="A328" s="398" t="str">
        <v xml:space="preserve"> </v>
      </c>
      <c r="C328" s="642" t="s">
        <v>183</v>
      </c>
      <c r="D328" s="643"/>
      <c r="F328" s="642" t="s">
        <v>183</v>
      </c>
      <c r="G328" s="643"/>
      <c r="H328" s="472"/>
      <c r="I328" s="644" t="s">
        <v>183</v>
      </c>
      <c r="J328" s="645"/>
      <c r="K328" s="472"/>
      <c r="L328" s="642" t="s">
        <v>183</v>
      </c>
      <c r="M328" s="643"/>
      <c r="O328" s="642" t="str">
        <f>A168</f>
        <v>p24-3G 68F79</v>
      </c>
      <c r="P328" s="643"/>
      <c r="R328" s="642" t="s">
        <v>183</v>
      </c>
      <c r="S328" s="643"/>
    </row>
    <row r="329" spans="1:19" x14ac:dyDescent="0.2">
      <c r="A329" s="398" t="str">
        <v xml:space="preserve"> </v>
      </c>
      <c r="C329" s="642" t="s">
        <v>183</v>
      </c>
      <c r="D329" s="643"/>
      <c r="F329" s="642" t="s">
        <v>183</v>
      </c>
      <c r="G329" s="643"/>
      <c r="H329" s="472"/>
      <c r="I329" s="644" t="s">
        <v>183</v>
      </c>
      <c r="J329" s="645"/>
      <c r="K329" s="472"/>
      <c r="L329" s="642" t="s">
        <v>183</v>
      </c>
      <c r="M329" s="643"/>
      <c r="O329" s="642" t="str">
        <f>A173</f>
        <v>p24-3G 68F240</v>
      </c>
      <c r="P329" s="643"/>
      <c r="R329" s="642" t="s">
        <v>183</v>
      </c>
      <c r="S329" s="643"/>
    </row>
    <row r="330" spans="1:19" x14ac:dyDescent="0.2">
      <c r="A330" s="398" t="str">
        <v xml:space="preserve"> </v>
      </c>
      <c r="C330" s="642" t="s">
        <v>183</v>
      </c>
      <c r="D330" s="643"/>
      <c r="F330" s="642" t="s">
        <v>183</v>
      </c>
      <c r="G330" s="643"/>
      <c r="H330" s="472"/>
      <c r="I330" s="644" t="s">
        <v>183</v>
      </c>
      <c r="J330" s="645"/>
      <c r="K330" s="472"/>
      <c r="L330" s="642" t="s">
        <v>183</v>
      </c>
      <c r="M330" s="643"/>
      <c r="O330" s="642" t="str">
        <f>A178</f>
        <v>p24-3G 73F30</v>
      </c>
      <c r="P330" s="643"/>
      <c r="R330" s="642" t="s">
        <v>183</v>
      </c>
      <c r="S330" s="643"/>
    </row>
    <row r="331" spans="1:19" x14ac:dyDescent="0.2">
      <c r="A331" s="398" t="str">
        <v xml:space="preserve"> </v>
      </c>
      <c r="C331" s="642" t="s">
        <v>183</v>
      </c>
      <c r="D331" s="643"/>
      <c r="F331" s="642" t="s">
        <v>183</v>
      </c>
      <c r="G331" s="643"/>
      <c r="H331" s="472"/>
      <c r="I331" s="648" t="s">
        <v>183</v>
      </c>
      <c r="J331" s="649"/>
      <c r="K331" s="472"/>
      <c r="L331" s="642" t="s">
        <v>183</v>
      </c>
      <c r="M331" s="643"/>
      <c r="O331" s="642" t="str">
        <f>A183</f>
        <v>p24-3G 74F85</v>
      </c>
      <c r="P331" s="643"/>
      <c r="R331" s="642" t="s">
        <v>183</v>
      </c>
      <c r="S331" s="643"/>
    </row>
    <row r="332" spans="1:19" x14ac:dyDescent="0.2">
      <c r="A332" s="462" t="str">
        <v xml:space="preserve"> </v>
      </c>
      <c r="C332" s="646" t="s">
        <v>183</v>
      </c>
      <c r="D332" s="647"/>
      <c r="F332" s="646" t="s">
        <v>183</v>
      </c>
      <c r="G332" s="647"/>
      <c r="H332" s="472"/>
      <c r="I332" s="646" t="s">
        <v>183</v>
      </c>
      <c r="J332" s="647"/>
      <c r="K332" s="472"/>
      <c r="L332" s="646" t="s">
        <v>183</v>
      </c>
      <c r="M332" s="647"/>
      <c r="O332" s="642" t="str">
        <f>A188</f>
        <v>p24-3G 75F51</v>
      </c>
      <c r="P332" s="643"/>
      <c r="R332" s="646" t="s">
        <v>183</v>
      </c>
      <c r="S332" s="647"/>
    </row>
    <row r="333" spans="1:19" x14ac:dyDescent="0.2">
      <c r="A333" s="398" t="str">
        <v xml:space="preserve"> </v>
      </c>
      <c r="C333" s="637" t="s">
        <v>183</v>
      </c>
      <c r="D333" s="637"/>
      <c r="F333" s="637" t="s">
        <v>183</v>
      </c>
      <c r="G333" s="637"/>
      <c r="I333" s="639" t="s">
        <v>183</v>
      </c>
      <c r="J333" s="639"/>
      <c r="L333" s="639" t="s">
        <v>183</v>
      </c>
      <c r="M333" s="639"/>
      <c r="O333" s="642" t="str">
        <f>A213</f>
        <v>p29-2G 84G88</v>
      </c>
      <c r="P333" s="643"/>
      <c r="R333" s="651" t="s">
        <v>183</v>
      </c>
      <c r="S333" s="651"/>
    </row>
    <row r="334" spans="1:19" x14ac:dyDescent="0.2">
      <c r="A334" s="398" t="str">
        <v>Isard</v>
      </c>
      <c r="C334" s="638" t="s">
        <v>183</v>
      </c>
      <c r="D334" s="638"/>
      <c r="F334" s="638" t="s">
        <v>183</v>
      </c>
      <c r="G334" s="638"/>
      <c r="I334" s="639" t="s">
        <v>183</v>
      </c>
      <c r="J334" s="639"/>
      <c r="L334" s="639" t="s">
        <v>183</v>
      </c>
      <c r="M334" s="639"/>
      <c r="O334" s="642" t="str">
        <f>A218</f>
        <v>p29-2G 93G80</v>
      </c>
      <c r="P334" s="643"/>
      <c r="R334" s="650" t="str">
        <f>A269</f>
        <v>Isard</v>
      </c>
      <c r="S334" s="650"/>
    </row>
    <row r="335" spans="1:19" x14ac:dyDescent="0.2">
      <c r="A335" s="398" t="str">
        <v>Chamois</v>
      </c>
      <c r="C335" s="638" t="s">
        <v>183</v>
      </c>
      <c r="D335" s="638"/>
      <c r="F335" s="638" t="s">
        <v>183</v>
      </c>
      <c r="G335" s="638"/>
      <c r="I335" s="639" t="s">
        <v>183</v>
      </c>
      <c r="J335" s="639"/>
      <c r="L335" s="639" t="s">
        <v>183</v>
      </c>
      <c r="M335" s="639"/>
      <c r="O335" s="642" t="str">
        <f>A223</f>
        <v>p29-2G 110G250</v>
      </c>
      <c r="P335" s="643"/>
      <c r="R335" s="650" t="str">
        <f>A274</f>
        <v>Chamois</v>
      </c>
      <c r="S335" s="650"/>
    </row>
    <row r="336" spans="1:19" x14ac:dyDescent="0.2">
      <c r="A336" s="398" t="str">
        <v>Pro54-5G WT</v>
      </c>
      <c r="C336" s="638" t="s">
        <v>183</v>
      </c>
      <c r="D336" s="638"/>
      <c r="F336" s="638" t="s">
        <v>183</v>
      </c>
      <c r="G336" s="638"/>
      <c r="I336" s="639" t="s">
        <v>183</v>
      </c>
      <c r="J336" s="639"/>
      <c r="L336" s="639" t="s">
        <v>183</v>
      </c>
      <c r="M336" s="639"/>
      <c r="O336" s="642" t="str">
        <f>A228</f>
        <v>p29-2G 116G126</v>
      </c>
      <c r="P336" s="643"/>
      <c r="R336" s="650" t="str">
        <f>A284</f>
        <v>Pro54-5G WT</v>
      </c>
      <c r="S336" s="650"/>
    </row>
    <row r="337" spans="1:19" x14ac:dyDescent="0.2">
      <c r="A337" s="398" t="str">
        <v>Pro98-6G Green</v>
      </c>
      <c r="C337" s="638" t="s">
        <v>183</v>
      </c>
      <c r="D337" s="638"/>
      <c r="F337" s="638" t="s">
        <v>183</v>
      </c>
      <c r="G337" s="638"/>
      <c r="I337" s="639" t="s">
        <v>183</v>
      </c>
      <c r="J337" s="639"/>
      <c r="L337" s="639" t="s">
        <v>183</v>
      </c>
      <c r="M337" s="639"/>
      <c r="O337" s="642" t="str">
        <f>A233</f>
        <v>p29-3G 125G131</v>
      </c>
      <c r="P337" s="643"/>
      <c r="R337" s="650" t="str">
        <f>A294</f>
        <v>Pro98-6G Green</v>
      </c>
      <c r="S337" s="650"/>
    </row>
    <row r="338" spans="1:19" x14ac:dyDescent="0.2">
      <c r="A338" s="398" t="str">
        <v>Pro98-3G WT</v>
      </c>
      <c r="C338" s="638" t="s">
        <v>183</v>
      </c>
      <c r="D338" s="638"/>
      <c r="F338" s="638" t="s">
        <v>183</v>
      </c>
      <c r="G338" s="638"/>
      <c r="I338" s="639" t="s">
        <v>183</v>
      </c>
      <c r="J338" s="639"/>
      <c r="L338" s="639" t="s">
        <v>183</v>
      </c>
      <c r="M338" s="639"/>
      <c r="O338" s="642" t="str">
        <f>A248</f>
        <v>p38-1G 128G185</v>
      </c>
      <c r="P338" s="643"/>
      <c r="R338" s="650" t="str">
        <f>A299</f>
        <v>Pro98-3G WT</v>
      </c>
      <c r="S338" s="650"/>
    </row>
    <row r="339" spans="1:19" x14ac:dyDescent="0.2">
      <c r="A339" s="398" t="str">
        <v>Aucun (2e ét. inerte)</v>
      </c>
      <c r="C339" s="638" t="s">
        <v>183</v>
      </c>
      <c r="D339" s="638"/>
      <c r="F339" s="638" t="s">
        <v>183</v>
      </c>
      <c r="G339" s="638"/>
      <c r="I339" s="639" t="s">
        <v>183</v>
      </c>
      <c r="J339" s="639"/>
      <c r="L339" s="639" t="s">
        <v>183</v>
      </c>
      <c r="M339" s="639"/>
      <c r="O339" s="642" t="str">
        <f>A243</f>
        <v>p38-1G 137G58</v>
      </c>
      <c r="P339" s="643"/>
      <c r="R339" s="650" t="str">
        <f>A309</f>
        <v>Aucun (2e ét. inerte)</v>
      </c>
      <c r="S339" s="650"/>
    </row>
    <row r="340" spans="1:19" x14ac:dyDescent="0.2">
      <c r="A340" s="398" t="str">
        <v xml:space="preserve"> </v>
      </c>
      <c r="C340" s="638" t="s">
        <v>183</v>
      </c>
      <c r="D340" s="638"/>
      <c r="F340" s="638" t="s">
        <v>183</v>
      </c>
      <c r="G340" s="638"/>
      <c r="I340" s="639" t="s">
        <v>183</v>
      </c>
      <c r="J340" s="639"/>
      <c r="L340" s="639" t="s">
        <v>183</v>
      </c>
      <c r="M340" s="639"/>
      <c r="O340" s="642" t="str">
        <f>A253</f>
        <v>p38-1G 141G78</v>
      </c>
      <c r="P340" s="643"/>
      <c r="R340" s="639" t="s">
        <v>183</v>
      </c>
      <c r="S340" s="639"/>
    </row>
    <row r="341" spans="1:19" x14ac:dyDescent="0.2">
      <c r="A341" s="398" t="str">
        <v xml:space="preserve"> </v>
      </c>
      <c r="C341" s="638" t="s">
        <v>183</v>
      </c>
      <c r="D341" s="638"/>
      <c r="F341" s="638" t="s">
        <v>183</v>
      </c>
      <c r="G341" s="638"/>
      <c r="I341" s="638" t="s">
        <v>183</v>
      </c>
      <c r="J341" s="638"/>
      <c r="L341" s="639" t="s">
        <v>183</v>
      </c>
      <c r="M341" s="639"/>
      <c r="O341" s="642" t="str">
        <f>A193</f>
        <v>p24-6G 140G145 PK</v>
      </c>
      <c r="P341" s="643"/>
      <c r="R341" s="638" t="s">
        <v>183</v>
      </c>
      <c r="S341" s="638"/>
    </row>
    <row r="342" spans="1:19" x14ac:dyDescent="0.2">
      <c r="A342" s="398" t="str">
        <v xml:space="preserve"> </v>
      </c>
      <c r="C342" s="638" t="s">
        <v>183</v>
      </c>
      <c r="D342" s="638"/>
      <c r="F342" s="638" t="s">
        <v>183</v>
      </c>
      <c r="G342" s="638"/>
      <c r="I342" s="638" t="s">
        <v>183</v>
      </c>
      <c r="J342" s="638"/>
      <c r="L342" s="639" t="s">
        <v>183</v>
      </c>
      <c r="M342" s="639"/>
      <c r="O342" s="642" t="str">
        <f>A198</f>
        <v>Pandora (Pro24-6G BS)</v>
      </c>
      <c r="P342" s="643"/>
      <c r="R342" s="638" t="s">
        <v>183</v>
      </c>
      <c r="S342" s="638"/>
    </row>
    <row r="343" spans="1:19" x14ac:dyDescent="0.2">
      <c r="A343" s="398" t="str">
        <v xml:space="preserve"> </v>
      </c>
      <c r="C343" s="638" t="s">
        <v>183</v>
      </c>
      <c r="D343" s="638"/>
      <c r="F343" s="638" t="s">
        <v>183</v>
      </c>
      <c r="G343" s="638"/>
      <c r="I343" s="638" t="s">
        <v>183</v>
      </c>
      <c r="J343" s="638"/>
      <c r="L343" s="638" t="s">
        <v>183</v>
      </c>
      <c r="M343" s="638"/>
      <c r="O343" s="644" t="str">
        <f>A203</f>
        <v>p24-6G 142G117 WT</v>
      </c>
      <c r="P343" s="645"/>
      <c r="R343" s="638" t="s">
        <v>183</v>
      </c>
      <c r="S343" s="638"/>
    </row>
    <row r="344" spans="1:19" x14ac:dyDescent="0.2">
      <c r="A344" s="398" t="str">
        <v xml:space="preserve"> </v>
      </c>
      <c r="C344" s="638" t="s">
        <v>183</v>
      </c>
      <c r="D344" s="638"/>
      <c r="F344" s="638" t="s">
        <v>183</v>
      </c>
      <c r="G344" s="638"/>
      <c r="I344" s="638" t="s">
        <v>183</v>
      </c>
      <c r="J344" s="638"/>
      <c r="L344" s="638" t="s">
        <v>183</v>
      </c>
      <c r="M344" s="638"/>
      <c r="O344" s="644" t="str">
        <f>A208</f>
        <v>p24-6G 139G107 DT</v>
      </c>
      <c r="P344" s="645"/>
      <c r="R344" s="638" t="s">
        <v>183</v>
      </c>
      <c r="S344" s="638"/>
    </row>
    <row r="345" spans="1:19" x14ac:dyDescent="0.2">
      <c r="A345" s="398" t="str">
        <v xml:space="preserve"> </v>
      </c>
      <c r="C345" s="638" t="s">
        <v>183</v>
      </c>
      <c r="D345" s="638"/>
      <c r="F345" s="638" t="s">
        <v>183</v>
      </c>
      <c r="G345" s="638"/>
      <c r="I345" s="638" t="s">
        <v>183</v>
      </c>
      <c r="J345" s="638"/>
      <c r="L345" s="638" t="s">
        <v>183</v>
      </c>
      <c r="M345" s="638"/>
      <c r="O345" s="644" t="str">
        <f>A263</f>
        <v>Cariacou</v>
      </c>
      <c r="P345" s="645"/>
      <c r="R345" s="638" t="s">
        <v>183</v>
      </c>
      <c r="S345" s="638"/>
    </row>
    <row r="346" spans="1:19" x14ac:dyDescent="0.2">
      <c r="A346" s="473" t="str">
        <v xml:space="preserve"> </v>
      </c>
      <c r="C346" s="638" t="s">
        <v>183</v>
      </c>
      <c r="D346" s="638"/>
      <c r="F346" s="638" t="s">
        <v>183</v>
      </c>
      <c r="G346" s="638"/>
      <c r="I346" s="638" t="s">
        <v>183</v>
      </c>
      <c r="J346" s="638"/>
      <c r="L346" s="638" t="s">
        <v>183</v>
      </c>
      <c r="M346" s="638"/>
      <c r="O346" s="652" t="str">
        <f>A258</f>
        <v>Wapiti</v>
      </c>
      <c r="P346" s="653"/>
      <c r="R346" s="638" t="s">
        <v>183</v>
      </c>
      <c r="S346" s="638"/>
    </row>
  </sheetData>
  <sheetProtection algorithmName="SHA-512" hashValue="TT52kldpbNfsZI03mY8g5TIIsjEeL9Q9TBJMBYh4cROlVUm3NqAv8usVb5XJtvE8tyHIClwYMgtE2emaKO5x7A==" saltValue="IfNq7E35bfDyzUo3UGtZTg==" spinCount="100000" sheet="1" objects="1" scenarios="1"/>
  <dataConsolidate/>
  <mergeCells count="186">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C345:D345"/>
    <mergeCell ref="C346:D346"/>
    <mergeCell ref="C335:D335"/>
    <mergeCell ref="C336:D336"/>
    <mergeCell ref="C337:D337"/>
    <mergeCell ref="C338:D338"/>
    <mergeCell ref="C339:D339"/>
    <mergeCell ref="C340:D340"/>
    <mergeCell ref="C334:D334"/>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A203" sqref="A203"/>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0</v>
      </c>
      <c r="D4" s="292" t="s">
        <v>14</v>
      </c>
      <c r="E4" s="293" t="s">
        <v>14</v>
      </c>
      <c r="F4" s="294" t="s">
        <v>14</v>
      </c>
      <c r="G4" s="292">
        <f>vit_xz*COS(Beta)</f>
        <v>0</v>
      </c>
      <c r="H4" s="293">
        <f>vit_xz*SIN(Beta)</f>
        <v>0</v>
      </c>
      <c r="I4" s="349">
        <f>V_ini</f>
        <v>0</v>
      </c>
      <c r="J4" s="350">
        <f>X_ini</f>
        <v>0</v>
      </c>
      <c r="K4" s="351">
        <f>Z_ini</f>
        <v>0</v>
      </c>
      <c r="L4" s="327">
        <f t="shared" ref="L4:L67" si="0">SQRT(pos_x^2+pos_z^2)</f>
        <v>0</v>
      </c>
      <c r="M4" s="292">
        <f>RADIANS(N4)</f>
        <v>1.3962634015954636</v>
      </c>
      <c r="N4" s="349">
        <f>Beta_rampe</f>
        <v>80</v>
      </c>
      <c r="P4" s="292" t="s">
        <v>14</v>
      </c>
      <c r="Q4" s="294" t="s">
        <v>14</v>
      </c>
      <c r="R4" s="292" t="s">
        <v>14</v>
      </c>
      <c r="S4" s="351">
        <f ca="1">m_tot</f>
        <v>8.4619999999999997</v>
      </c>
      <c r="T4" s="327">
        <f t="shared" ref="T4:T67" ca="1" si="1">m*g</f>
        <v>83.012219999999999</v>
      </c>
      <c r="U4" s="328">
        <f t="shared" ref="U4:U67" ca="1" si="2">IF(pos_xz&lt;L_rampe,Poids*COS(Beta),0)</f>
        <v>14.414920727086313</v>
      </c>
      <c r="V4" s="329">
        <f t="shared" ref="V4:V67" si="3">Rho_moyen*(20000-Alt_rampe-pos_z)/(20000+Alt_rampe+pos_z)</f>
        <v>1.2250000000000001</v>
      </c>
      <c r="W4" s="327">
        <f t="shared" ref="W4:W67" si="4">1/2*Rho*Sref*Cx*vit_xz^2</f>
        <v>0</v>
      </c>
      <c r="Y4" s="295" t="s">
        <v>14</v>
      </c>
      <c r="Z4" s="296" t="s">
        <v>14</v>
      </c>
      <c r="AA4" s="297" t="s">
        <v>14</v>
      </c>
      <c r="AC4" s="320">
        <f>IF(ABS(t-ROUND(t,0))&lt;0.001,t,-1)</f>
        <v>0</v>
      </c>
      <c r="AD4" s="321">
        <f>IF(ABS(t-ROUND(t,0))&lt;0.001,pos_x,-1)</f>
        <v>0</v>
      </c>
      <c r="AE4" s="322">
        <f t="shared" ref="AE4:AE67" si="5">IF(t&lt;T_para, pos_z, NA())</f>
        <v>0</v>
      </c>
      <c r="AG4" s="292" t="s">
        <v>14</v>
      </c>
      <c r="AH4" s="294" t="s">
        <v>14</v>
      </c>
    </row>
    <row r="5" spans="1:248" x14ac:dyDescent="0.2">
      <c r="A5" s="347">
        <f t="shared" ref="A5:A68" ca="1" si="6">IF(B4+0.01&lt;=T_ini+ROUNDUP(Temps_fin_propu,0), 0.01, IF(K4&gt;0, 0.1, 0.0001))</f>
        <v>0.01</v>
      </c>
      <c r="B5" s="304">
        <f t="shared" ref="B5:B68" ca="1" si="7">B4+pas</f>
        <v>0.01</v>
      </c>
      <c r="D5" s="306">
        <f t="shared" ref="D5:D68" ca="1" si="8">IF(AND(L4&lt;L_rampe,Poussee&lt;Poids*SIN(M4)),0,(-W4+Poussee)/m*COS(M4)-U4/m*SIN(M4))</f>
        <v>3.3735892834057402</v>
      </c>
      <c r="E5" s="307">
        <f t="shared" ref="E5:E68" ca="1" si="9">IF(AND(L4&lt;L_rampe,Poussee&lt;Poids*SIN(M4)),0,(-W4+Poussee)/m*SIN(M4)+U4/m*COS(M4)-Poids/m)</f>
        <v>19.133977986314704</v>
      </c>
      <c r="F5" s="304">
        <f t="shared" ref="F5:F68" ca="1" si="10">SQRT(acc_x^2+acc_z^2)</f>
        <v>19.429107499673933</v>
      </c>
      <c r="G5" s="306">
        <f t="shared" ref="G5:G68" ca="1" si="11">G4+acc_x*pas</f>
        <v>3.3735892834057403E-2</v>
      </c>
      <c r="H5" s="307">
        <f t="shared" ref="H5:H68" ca="1" si="12">H4+acc_z*pas</f>
        <v>0.19133977986314704</v>
      </c>
      <c r="I5" s="304">
        <f t="shared" ref="I5:I68" ca="1" si="13">SQRT(vit_x^2+vit_z^2)</f>
        <v>0.19429107499673928</v>
      </c>
      <c r="J5" s="306">
        <f t="shared" ref="J5:J68" ca="1" si="14">J4+0.5*(vit_x+G4)*pas*(K4&gt;=0)</f>
        <v>1.6867946417028701E-4</v>
      </c>
      <c r="K5" s="307">
        <f t="shared" ref="K5:K68" ca="1" si="15">K4+0.5*(vit_z+H4)*pas</f>
        <v>9.5669889931573524E-4</v>
      </c>
      <c r="L5" s="304">
        <f t="shared" ca="1" si="0"/>
        <v>9.7145537498369652E-4</v>
      </c>
      <c r="M5" s="306">
        <f t="shared" ref="M5:M68" ca="1" si="16">IF(AND(L4&gt;L_rampe,G5&gt;0),ATAN2(G5,H5),$M$4)</f>
        <v>1.3962634015954636</v>
      </c>
      <c r="N5" s="304">
        <f t="shared" ref="N5:N68" ca="1" si="17">DEGREES(Beta)</f>
        <v>80</v>
      </c>
      <c r="P5" s="310">
        <f t="shared" ref="P5:P68" ca="1" si="18">MATCH(t-pas/2-T_ini,CdP_t)</f>
        <v>1</v>
      </c>
      <c r="Q5" s="304">
        <f t="shared" ref="Q5:Q68" ca="1" si="19">(INDEX(CdP,2,i_P+1)-INDEX(CdP,2,i_P+0))/(INDEX(CdP,1,i_P+1)-INDEX(CdP,1,i_P+0))*(t-pas/2-T_ini-INDEX(CdP,1,i_P+0))+INDEX(CdP,2,i_P+0)</f>
        <v>246.125</v>
      </c>
      <c r="R5" s="306">
        <f t="shared" ref="R5:R68" ca="1" si="20">Poussee/(g*ISP)</f>
        <v>0.12095363881938478</v>
      </c>
      <c r="S5" s="307">
        <f t="shared" ref="S5:S68" ca="1" si="21">S4-Débit*pas</f>
        <v>8.4607904636118061</v>
      </c>
      <c r="T5" s="304">
        <f t="shared" ca="1" si="1"/>
        <v>83.000354448031828</v>
      </c>
      <c r="U5" s="311">
        <f t="shared" ca="1" si="2"/>
        <v>14.412860295610029</v>
      </c>
      <c r="V5" s="306">
        <f t="shared" ca="1" si="3"/>
        <v>1.2249998828043906</v>
      </c>
      <c r="W5" s="304">
        <f t="shared" ca="1" si="4"/>
        <v>1.467026298155887E-4</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9.5669889931573524E-4</v>
      </c>
      <c r="AG5" s="306">
        <f t="shared" ref="AG5:AG68" ca="1" si="27">IF(AND(L4&lt;L_rampe,Poussee&lt;Poids*SIN(M4)),0,(-W4+Poussee)/m-Poids*SIN(M4)/m)</f>
        <v>19.429107498147729</v>
      </c>
      <c r="AH5" s="304">
        <f t="shared" ref="AH5:AH68" ca="1" si="28">IF(AND(L4&lt;L_rampe,Poussee&lt;Poids*SIN(M4)), g*SIN(M4), (-W4+Poussee)/m)</f>
        <v>29.090071555197493</v>
      </c>
    </row>
    <row r="6" spans="1:248" x14ac:dyDescent="0.2">
      <c r="A6" s="347">
        <f t="shared" ca="1" si="6"/>
        <v>0.01</v>
      </c>
      <c r="B6" s="304">
        <f t="shared" ca="1" si="7"/>
        <v>0.02</v>
      </c>
      <c r="D6" s="306">
        <f t="shared" ca="1" si="8"/>
        <v>17.436564216911336</v>
      </c>
      <c r="E6" s="307">
        <f t="shared" ca="1" si="9"/>
        <v>98.892976506769458</v>
      </c>
      <c r="F6" s="304">
        <f t="shared" ca="1" si="10"/>
        <v>100.41839758758815</v>
      </c>
      <c r="G6" s="306">
        <f t="shared" ca="1" si="11"/>
        <v>0.20810153500317075</v>
      </c>
      <c r="H6" s="307">
        <f t="shared" ca="1" si="12"/>
        <v>1.1802695449308416</v>
      </c>
      <c r="I6" s="304">
        <f t="shared" ca="1" si="13"/>
        <v>1.1984750508717033</v>
      </c>
      <c r="J6" s="306">
        <f t="shared" ca="1" si="14"/>
        <v>1.3778666033564277E-3</v>
      </c>
      <c r="K6" s="307">
        <f t="shared" ca="1" si="15"/>
        <v>7.8147455232856784E-3</v>
      </c>
      <c r="L6" s="304">
        <f t="shared" ca="1" si="0"/>
        <v>7.9352860043201048E-3</v>
      </c>
      <c r="M6" s="306">
        <f t="shared" ca="1" si="16"/>
        <v>1.3962634015954636</v>
      </c>
      <c r="N6" s="304">
        <f t="shared" ca="1" si="17"/>
        <v>80</v>
      </c>
      <c r="P6" s="310">
        <f t="shared" ca="1" si="18"/>
        <v>2</v>
      </c>
      <c r="Q6" s="304">
        <f t="shared" ca="1" si="19"/>
        <v>930.85500000000002</v>
      </c>
      <c r="R6" s="306">
        <f t="shared" ca="1" si="20"/>
        <v>0.45745169919032375</v>
      </c>
      <c r="S6" s="307">
        <f t="shared" ca="1" si="21"/>
        <v>8.4562159466199027</v>
      </c>
      <c r="T6" s="304">
        <f t="shared" ca="1" si="1"/>
        <v>82.955478436341252</v>
      </c>
      <c r="U6" s="311">
        <f t="shared" ca="1" si="2"/>
        <v>14.405067657959</v>
      </c>
      <c r="V6" s="306">
        <f t="shared" ca="1" si="3"/>
        <v>1.2249990426940476</v>
      </c>
      <c r="W6" s="304">
        <f t="shared" ca="1" si="4"/>
        <v>5.5820007959282488E-3</v>
      </c>
      <c r="Y6" s="314" t="str">
        <f t="shared" ca="1" si="22"/>
        <v/>
      </c>
      <c r="Z6" s="315" t="str">
        <f t="shared" ca="1" si="23"/>
        <v/>
      </c>
      <c r="AA6" s="316" t="str">
        <f t="shared" ca="1" si="24"/>
        <v/>
      </c>
      <c r="AC6" s="310" t="e">
        <f t="shared" ca="1" si="25"/>
        <v>#N/A</v>
      </c>
      <c r="AD6" s="323" t="e">
        <f t="shared" ca="1" si="26"/>
        <v>#N/A</v>
      </c>
      <c r="AE6" s="324">
        <f t="shared" ca="1" si="5"/>
        <v>7.8147455232856784E-3</v>
      </c>
      <c r="AG6" s="306">
        <f t="shared" ca="1" si="27"/>
        <v>100.41839758335976</v>
      </c>
      <c r="AH6" s="304">
        <f t="shared" ca="1" si="28"/>
        <v>110.07936164040953</v>
      </c>
    </row>
    <row r="7" spans="1:248" x14ac:dyDescent="0.2">
      <c r="A7" s="347">
        <f t="shared" ca="1" si="6"/>
        <v>0.01</v>
      </c>
      <c r="B7" s="304">
        <f t="shared" ca="1" si="7"/>
        <v>0.03</v>
      </c>
      <c r="D7" s="306">
        <f t="shared" ca="1" si="8"/>
        <v>26.007732843465472</v>
      </c>
      <c r="E7" s="307">
        <f t="shared" ca="1" si="9"/>
        <v>147.50486904481991</v>
      </c>
      <c r="F7" s="304">
        <f t="shared" ca="1" si="10"/>
        <v>149.78013406185264</v>
      </c>
      <c r="G7" s="306">
        <f t="shared" ca="1" si="11"/>
        <v>0.4681788634378255</v>
      </c>
      <c r="H7" s="307">
        <f t="shared" ca="1" si="12"/>
        <v>2.655318235379041</v>
      </c>
      <c r="I7" s="304">
        <f t="shared" ca="1" si="13"/>
        <v>2.6962763914900116</v>
      </c>
      <c r="J7" s="306">
        <f t="shared" ca="1" si="14"/>
        <v>4.7592685955614089E-3</v>
      </c>
      <c r="K7" s="307">
        <f t="shared" ca="1" si="15"/>
        <v>2.6992684424835094E-2</v>
      </c>
      <c r="L7" s="304">
        <f t="shared" ca="1" si="0"/>
        <v>2.7409043216125441E-2</v>
      </c>
      <c r="M7" s="306">
        <f t="shared" ca="1" si="16"/>
        <v>1.3962634015954636</v>
      </c>
      <c r="N7" s="304">
        <f t="shared" ca="1" si="17"/>
        <v>80</v>
      </c>
      <c r="P7" s="310">
        <f t="shared" ca="1" si="18"/>
        <v>3</v>
      </c>
      <c r="Q7" s="304">
        <f t="shared" ca="1" si="19"/>
        <v>1347.2183333333335</v>
      </c>
      <c r="R7" s="306">
        <f t="shared" ca="1" si="20"/>
        <v>0.66206585962764264</v>
      </c>
      <c r="S7" s="307">
        <f t="shared" ca="1" si="21"/>
        <v>8.4495952880236267</v>
      </c>
      <c r="T7" s="304">
        <f t="shared" ca="1" si="1"/>
        <v>82.89052977551178</v>
      </c>
      <c r="U7" s="311">
        <f t="shared" ca="1" si="2"/>
        <v>14.393789441364055</v>
      </c>
      <c r="V7" s="306">
        <f t="shared" ca="1" si="3"/>
        <v>1.2249966934006209</v>
      </c>
      <c r="W7" s="304">
        <f t="shared" ca="1" si="4"/>
        <v>2.8252695197651209E-2</v>
      </c>
      <c r="Y7" s="314" t="str">
        <f t="shared" ca="1" si="22"/>
        <v/>
      </c>
      <c r="Z7" s="315" t="str">
        <f t="shared" ca="1" si="23"/>
        <v/>
      </c>
      <c r="AA7" s="316" t="str">
        <f t="shared" ca="1" si="24"/>
        <v/>
      </c>
      <c r="AC7" s="310" t="e">
        <f t="shared" ca="1" si="25"/>
        <v>#N/A</v>
      </c>
      <c r="AD7" s="323" t="e">
        <f t="shared" ca="1" si="26"/>
        <v>#N/A</v>
      </c>
      <c r="AE7" s="324">
        <f t="shared" ca="1" si="5"/>
        <v>2.6992684424835094E-2</v>
      </c>
      <c r="AG7" s="306">
        <f t="shared" ca="1" si="27"/>
        <v>149.78013405590525</v>
      </c>
      <c r="AH7" s="304">
        <f t="shared" ca="1" si="28"/>
        <v>159.44109811295502</v>
      </c>
    </row>
    <row r="8" spans="1:248" x14ac:dyDescent="0.2">
      <c r="A8" s="347">
        <f t="shared" ca="1" si="6"/>
        <v>0.01</v>
      </c>
      <c r="B8" s="304">
        <f t="shared" ca="1" si="7"/>
        <v>0.04</v>
      </c>
      <c r="D8" s="306">
        <f t="shared" ca="1" si="8"/>
        <v>25.113429406855403</v>
      </c>
      <c r="E8" s="307">
        <f t="shared" ca="1" si="9"/>
        <v>142.43277405829616</v>
      </c>
      <c r="F8" s="304">
        <f t="shared" ca="1" si="10"/>
        <v>144.62980143288158</v>
      </c>
      <c r="G8" s="306">
        <f t="shared" ca="1" si="11"/>
        <v>0.71931315750637959</v>
      </c>
      <c r="H8" s="307">
        <f t="shared" ca="1" si="12"/>
        <v>4.079645975962003</v>
      </c>
      <c r="I8" s="304">
        <f t="shared" ca="1" si="13"/>
        <v>4.142574405818773</v>
      </c>
      <c r="J8" s="306">
        <f t="shared" ca="1" si="14"/>
        <v>1.0696728700282435E-2</v>
      </c>
      <c r="K8" s="307">
        <f t="shared" ca="1" si="15"/>
        <v>6.0667505481540311E-2</v>
      </c>
      <c r="L8" s="304">
        <f t="shared" ca="1" si="0"/>
        <v>6.1603297202667405E-2</v>
      </c>
      <c r="M8" s="306">
        <f t="shared" ca="1" si="16"/>
        <v>1.3962634015954636</v>
      </c>
      <c r="N8" s="304">
        <f t="shared" ca="1" si="17"/>
        <v>80</v>
      </c>
      <c r="P8" s="310">
        <f t="shared" ca="1" si="18"/>
        <v>3</v>
      </c>
      <c r="Q8" s="304">
        <f t="shared" ca="1" si="19"/>
        <v>1302.7349999999999</v>
      </c>
      <c r="R8" s="306">
        <f t="shared" ca="1" si="20"/>
        <v>0.64020533739917207</v>
      </c>
      <c r="S8" s="307">
        <f t="shared" ca="1" si="21"/>
        <v>8.4431932346496357</v>
      </c>
      <c r="T8" s="304">
        <f t="shared" ca="1" si="1"/>
        <v>82.827725631912926</v>
      </c>
      <c r="U8" s="311">
        <f t="shared" ca="1" si="2"/>
        <v>14.382883616278182</v>
      </c>
      <c r="V8" s="306">
        <f t="shared" ca="1" si="3"/>
        <v>1.224992568253122</v>
      </c>
      <c r="W8" s="304">
        <f t="shared" ca="1" si="4"/>
        <v>6.6691462115298722E-2</v>
      </c>
      <c r="Y8" s="314" t="str">
        <f t="shared" ca="1" si="22"/>
        <v/>
      </c>
      <c r="Z8" s="315" t="str">
        <f t="shared" ca="1" si="23"/>
        <v/>
      </c>
      <c r="AA8" s="316" t="str">
        <f t="shared" ca="1" si="24"/>
        <v/>
      </c>
      <c r="AC8" s="310" t="e">
        <f t="shared" ca="1" si="25"/>
        <v>#N/A</v>
      </c>
      <c r="AD8" s="323" t="e">
        <f t="shared" ca="1" si="26"/>
        <v>#N/A</v>
      </c>
      <c r="AE8" s="324">
        <f t="shared" ca="1" si="5"/>
        <v>6.0667505481540311E-2</v>
      </c>
      <c r="AG8" s="306">
        <f t="shared" ca="1" si="27"/>
        <v>144.62980142711368</v>
      </c>
      <c r="AH8" s="304">
        <f t="shared" ca="1" si="28"/>
        <v>154.29076548416344</v>
      </c>
    </row>
    <row r="9" spans="1:248" x14ac:dyDescent="0.2">
      <c r="A9" s="347">
        <f t="shared" ca="1" si="6"/>
        <v>0.01</v>
      </c>
      <c r="B9" s="304">
        <f t="shared" ca="1" si="7"/>
        <v>0.05</v>
      </c>
      <c r="D9" s="306">
        <f t="shared" ca="1" si="8"/>
        <v>24.216773239160627</v>
      </c>
      <c r="E9" s="307">
        <f t="shared" ca="1" si="9"/>
        <v>137.34733550782479</v>
      </c>
      <c r="F9" s="304">
        <f t="shared" ca="1" si="10"/>
        <v>139.46591941121642</v>
      </c>
      <c r="G9" s="306">
        <f t="shared" ca="1" si="11"/>
        <v>0.96148088989798586</v>
      </c>
      <c r="H9" s="307">
        <f t="shared" ca="1" si="12"/>
        <v>5.4531193310402513</v>
      </c>
      <c r="I9" s="304">
        <f t="shared" ca="1" si="13"/>
        <v>5.537233599930917</v>
      </c>
      <c r="J9" s="306">
        <f t="shared" ca="1" si="14"/>
        <v>1.9100698937304261E-2</v>
      </c>
      <c r="K9" s="307">
        <f t="shared" ca="1" si="15"/>
        <v>0.10833133201655158</v>
      </c>
      <c r="L9" s="304">
        <f t="shared" ca="1" si="0"/>
        <v>0.11000233723141463</v>
      </c>
      <c r="M9" s="306">
        <f t="shared" ca="1" si="16"/>
        <v>1.3962634015954636</v>
      </c>
      <c r="N9" s="304">
        <f t="shared" ca="1" si="17"/>
        <v>80</v>
      </c>
      <c r="P9" s="310">
        <f t="shared" ca="1" si="18"/>
        <v>3</v>
      </c>
      <c r="Q9" s="304">
        <f t="shared" ca="1" si="19"/>
        <v>1258.2516666666666</v>
      </c>
      <c r="R9" s="306">
        <f t="shared" ca="1" si="20"/>
        <v>0.61834481517070161</v>
      </c>
      <c r="S9" s="307">
        <f t="shared" ca="1" si="21"/>
        <v>8.4370097864979279</v>
      </c>
      <c r="T9" s="304">
        <f t="shared" ca="1" si="1"/>
        <v>82.767066005544677</v>
      </c>
      <c r="U9" s="311">
        <f t="shared" ca="1" si="2"/>
        <v>14.372350182701378</v>
      </c>
      <c r="V9" s="306">
        <f t="shared" ca="1" si="3"/>
        <v>1.2249867294837087</v>
      </c>
      <c r="W9" s="304">
        <f t="shared" ca="1" si="4"/>
        <v>0.11915526163355977</v>
      </c>
      <c r="Y9" s="314" t="str">
        <f t="shared" ca="1" si="22"/>
        <v/>
      </c>
      <c r="Z9" s="315" t="str">
        <f t="shared" ca="1" si="23"/>
        <v/>
      </c>
      <c r="AA9" s="316" t="str">
        <f t="shared" ca="1" si="24"/>
        <v/>
      </c>
      <c r="AC9" s="310" t="e">
        <f t="shared" ca="1" si="25"/>
        <v>#N/A</v>
      </c>
      <c r="AD9" s="323" t="e">
        <f t="shared" ca="1" si="26"/>
        <v>#N/A</v>
      </c>
      <c r="AE9" s="324">
        <f t="shared" ca="1" si="5"/>
        <v>0.10833133201655158</v>
      </c>
      <c r="AG9" s="306">
        <f t="shared" ca="1" si="27"/>
        <v>139.46591940562834</v>
      </c>
      <c r="AH9" s="304">
        <f t="shared" ca="1" si="28"/>
        <v>149.12688346267811</v>
      </c>
    </row>
    <row r="10" spans="1:248" x14ac:dyDescent="0.2">
      <c r="A10" s="347">
        <f t="shared" ca="1" si="6"/>
        <v>0.01</v>
      </c>
      <c r="B10" s="304">
        <f t="shared" ca="1" si="7"/>
        <v>6.0000000000000005E-2</v>
      </c>
      <c r="D10" s="306">
        <f t="shared" ca="1" si="8"/>
        <v>23.865841747795663</v>
      </c>
      <c r="E10" s="307">
        <f t="shared" ca="1" si="9"/>
        <v>135.35700698845517</v>
      </c>
      <c r="F10" s="304">
        <f t="shared" ca="1" si="10"/>
        <v>137.44488984026844</v>
      </c>
      <c r="G10" s="306">
        <f t="shared" ca="1" si="11"/>
        <v>1.2001393073759425</v>
      </c>
      <c r="H10" s="307">
        <f t="shared" ca="1" si="12"/>
        <v>6.8066894009248031</v>
      </c>
      <c r="I10" s="304">
        <f t="shared" ca="1" si="13"/>
        <v>6.9116824983335912</v>
      </c>
      <c r="J10" s="306">
        <f t="shared" ca="1" si="14"/>
        <v>2.9908799923673901E-2</v>
      </c>
      <c r="K10" s="307">
        <f t="shared" ca="1" si="15"/>
        <v>0.16963037567637684</v>
      </c>
      <c r="L10" s="304">
        <f t="shared" ca="1" si="0"/>
        <v>0.17224691772273631</v>
      </c>
      <c r="M10" s="306">
        <f t="shared" ca="1" si="16"/>
        <v>1.3962634015954636</v>
      </c>
      <c r="N10" s="304">
        <f t="shared" ca="1" si="17"/>
        <v>80</v>
      </c>
      <c r="P10" s="310">
        <f t="shared" ca="1" si="18"/>
        <v>4</v>
      </c>
      <c r="Q10" s="304">
        <f t="shared" ca="1" si="19"/>
        <v>1240.356</v>
      </c>
      <c r="R10" s="306">
        <f t="shared" ca="1" si="20"/>
        <v>0.60955031643050006</v>
      </c>
      <c r="S10" s="307">
        <f t="shared" ca="1" si="21"/>
        <v>8.4309142833336228</v>
      </c>
      <c r="T10" s="304">
        <f t="shared" ca="1" si="1"/>
        <v>82.70726911950284</v>
      </c>
      <c r="U10" s="311">
        <f t="shared" ca="1" si="2"/>
        <v>14.361966562410057</v>
      </c>
      <c r="V10" s="306">
        <f t="shared" ca="1" si="3"/>
        <v>1.2249792204552219</v>
      </c>
      <c r="W10" s="304">
        <f t="shared" ca="1" si="4"/>
        <v>0.18564892161543706</v>
      </c>
      <c r="Y10" s="314" t="str">
        <f t="shared" ca="1" si="22"/>
        <v/>
      </c>
      <c r="Z10" s="315" t="str">
        <f t="shared" ca="1" si="23"/>
        <v/>
      </c>
      <c r="AA10" s="316" t="str">
        <f t="shared" ca="1" si="24"/>
        <v/>
      </c>
      <c r="AC10" s="310" t="e">
        <f t="shared" ca="1" si="25"/>
        <v>#N/A</v>
      </c>
      <c r="AD10" s="323" t="e">
        <f t="shared" ca="1" si="26"/>
        <v>#N/A</v>
      </c>
      <c r="AE10" s="324">
        <f t="shared" ca="1" si="5"/>
        <v>0.16963037567637684</v>
      </c>
      <c r="AG10" s="306">
        <f t="shared" ca="1" si="27"/>
        <v>137.44488983475034</v>
      </c>
      <c r="AH10" s="304">
        <f t="shared" ca="1" si="28"/>
        <v>147.10585389180011</v>
      </c>
    </row>
    <row r="11" spans="1:248" x14ac:dyDescent="0.2">
      <c r="A11" s="347">
        <f t="shared" ca="1" si="6"/>
        <v>0.01</v>
      </c>
      <c r="B11" s="304">
        <f t="shared" ca="1" si="7"/>
        <v>7.0000000000000007E-2</v>
      </c>
      <c r="D11" s="306">
        <f t="shared" ca="1" si="8"/>
        <v>24.06222952874618</v>
      </c>
      <c r="E11" s="307">
        <f t="shared" ca="1" si="9"/>
        <v>136.47083234634403</v>
      </c>
      <c r="F11" s="304">
        <f t="shared" ca="1" si="10"/>
        <v>138.57589606853711</v>
      </c>
      <c r="G11" s="306">
        <f t="shared" ca="1" si="11"/>
        <v>1.4407616026634043</v>
      </c>
      <c r="H11" s="307">
        <f t="shared" ca="1" si="12"/>
        <v>8.1713977243882425</v>
      </c>
      <c r="I11" s="304">
        <f t="shared" ca="1" si="13"/>
        <v>8.2974414590189518</v>
      </c>
      <c r="J11" s="306">
        <f t="shared" ca="1" si="14"/>
        <v>4.3113304473870635E-2</v>
      </c>
      <c r="K11" s="307">
        <f t="shared" ca="1" si="15"/>
        <v>0.24452081130294206</v>
      </c>
      <c r="L11" s="304">
        <f t="shared" ca="1" si="0"/>
        <v>0.2482925375094984</v>
      </c>
      <c r="M11" s="306">
        <f t="shared" ca="1" si="16"/>
        <v>1.3962634015954636</v>
      </c>
      <c r="N11" s="304">
        <f t="shared" ca="1" si="17"/>
        <v>80</v>
      </c>
      <c r="P11" s="310">
        <f t="shared" ca="1" si="18"/>
        <v>4</v>
      </c>
      <c r="Q11" s="304">
        <f t="shared" ca="1" si="19"/>
        <v>1249.048</v>
      </c>
      <c r="R11" s="306">
        <f t="shared" ca="1" si="20"/>
        <v>0.61382184117856753</v>
      </c>
      <c r="S11" s="307">
        <f t="shared" ca="1" si="21"/>
        <v>8.4247760649218364</v>
      </c>
      <c r="T11" s="304">
        <f t="shared" ca="1" si="1"/>
        <v>82.64705319688322</v>
      </c>
      <c r="U11" s="311">
        <f t="shared" ca="1" si="2"/>
        <v>14.351510177180627</v>
      </c>
      <c r="V11" s="306">
        <f t="shared" ca="1" si="3"/>
        <v>1.2249700465668274</v>
      </c>
      <c r="W11" s="304">
        <f t="shared" ca="1" si="4"/>
        <v>0.26755311579141239</v>
      </c>
      <c r="Y11" s="314" t="str">
        <f t="shared" ca="1" si="22"/>
        <v/>
      </c>
      <c r="Z11" s="315" t="str">
        <f t="shared" ca="1" si="23"/>
        <v/>
      </c>
      <c r="AA11" s="316" t="str">
        <f t="shared" ca="1" si="24"/>
        <v/>
      </c>
      <c r="AC11" s="310" t="e">
        <f t="shared" ca="1" si="25"/>
        <v>#N/A</v>
      </c>
      <c r="AD11" s="323" t="e">
        <f t="shared" ca="1" si="26"/>
        <v>#N/A</v>
      </c>
      <c r="AE11" s="324">
        <f t="shared" ca="1" si="5"/>
        <v>0.24452081130294206</v>
      </c>
      <c r="AG11" s="306">
        <f t="shared" ca="1" si="27"/>
        <v>138.57589606297898</v>
      </c>
      <c r="AH11" s="304">
        <f t="shared" ca="1" si="28"/>
        <v>148.23686012002875</v>
      </c>
    </row>
    <row r="12" spans="1:248" x14ac:dyDescent="0.2">
      <c r="A12" s="347">
        <f t="shared" ca="1" si="6"/>
        <v>0.01</v>
      </c>
      <c r="B12" s="304">
        <f t="shared" ca="1" si="7"/>
        <v>0.08</v>
      </c>
      <c r="D12" s="306">
        <f t="shared" ca="1" si="8"/>
        <v>24.258717421806857</v>
      </c>
      <c r="E12" s="307">
        <f t="shared" ca="1" si="9"/>
        <v>137.58522558483455</v>
      </c>
      <c r="F12" s="304">
        <f t="shared" ca="1" si="10"/>
        <v>139.70747893431076</v>
      </c>
      <c r="G12" s="306">
        <f t="shared" ca="1" si="11"/>
        <v>1.6833487768814728</v>
      </c>
      <c r="H12" s="307">
        <f t="shared" ca="1" si="12"/>
        <v>9.5472499802365878</v>
      </c>
      <c r="I12" s="304">
        <f t="shared" ca="1" si="13"/>
        <v>9.6945162483620546</v>
      </c>
      <c r="J12" s="306">
        <f t="shared" ca="1" si="14"/>
        <v>5.873385637159502E-2</v>
      </c>
      <c r="K12" s="307">
        <f t="shared" ca="1" si="15"/>
        <v>0.33311404982606618</v>
      </c>
      <c r="L12" s="304">
        <f t="shared" ca="1" si="0"/>
        <v>0.33825232604640293</v>
      </c>
      <c r="M12" s="306">
        <f t="shared" ca="1" si="16"/>
        <v>1.3962634015954636</v>
      </c>
      <c r="N12" s="304">
        <f t="shared" ca="1" si="17"/>
        <v>80</v>
      </c>
      <c r="P12" s="310">
        <f t="shared" ca="1" si="18"/>
        <v>4</v>
      </c>
      <c r="Q12" s="304">
        <f t="shared" ca="1" si="19"/>
        <v>1257.74</v>
      </c>
      <c r="R12" s="306">
        <f t="shared" ca="1" si="20"/>
        <v>0.61809336592663489</v>
      </c>
      <c r="S12" s="307">
        <f t="shared" ca="1" si="21"/>
        <v>8.4185951312625704</v>
      </c>
      <c r="T12" s="304">
        <f t="shared" ca="1" si="1"/>
        <v>82.58641823768582</v>
      </c>
      <c r="U12" s="311">
        <f t="shared" ca="1" si="2"/>
        <v>14.34098102701309</v>
      </c>
      <c r="V12" s="306">
        <f t="shared" ca="1" si="3"/>
        <v>1.2249591942085456</v>
      </c>
      <c r="W12" s="304">
        <f t="shared" ca="1" si="4"/>
        <v>0.36523303912116528</v>
      </c>
      <c r="Y12" s="314" t="str">
        <f t="shared" ca="1" si="22"/>
        <v/>
      </c>
      <c r="Z12" s="315" t="str">
        <f t="shared" ca="1" si="23"/>
        <v/>
      </c>
      <c r="AA12" s="316" t="str">
        <f t="shared" ca="1" si="24"/>
        <v/>
      </c>
      <c r="AC12" s="310" t="e">
        <f t="shared" ca="1" si="25"/>
        <v>#N/A</v>
      </c>
      <c r="AD12" s="323" t="e">
        <f t="shared" ca="1" si="26"/>
        <v>#N/A</v>
      </c>
      <c r="AE12" s="324">
        <f t="shared" ca="1" si="5"/>
        <v>0.33311404982606618</v>
      </c>
      <c r="AG12" s="306">
        <f t="shared" ca="1" si="27"/>
        <v>139.70747892871245</v>
      </c>
      <c r="AH12" s="304">
        <f t="shared" ca="1" si="28"/>
        <v>149.36844298576221</v>
      </c>
    </row>
    <row r="13" spans="1:248" x14ac:dyDescent="0.2">
      <c r="A13" s="347">
        <f t="shared" ca="1" si="6"/>
        <v>0.01</v>
      </c>
      <c r="B13" s="304">
        <f t="shared" ca="1" si="7"/>
        <v>0.09</v>
      </c>
      <c r="D13" s="306">
        <f t="shared" ca="1" si="8"/>
        <v>24.455301102395332</v>
      </c>
      <c r="E13" s="307">
        <f t="shared" ca="1" si="9"/>
        <v>138.70016217909662</v>
      </c>
      <c r="F13" s="304">
        <f t="shared" ca="1" si="10"/>
        <v>140.83961353439068</v>
      </c>
      <c r="G13" s="306">
        <f t="shared" ca="1" si="11"/>
        <v>1.9279017879054261</v>
      </c>
      <c r="H13" s="307">
        <f t="shared" ca="1" si="12"/>
        <v>10.934251602027555</v>
      </c>
      <c r="I13" s="304">
        <f t="shared" ca="1" si="13"/>
        <v>11.102912383705956</v>
      </c>
      <c r="J13" s="306">
        <f t="shared" ca="1" si="14"/>
        <v>7.6790109195529518E-2</v>
      </c>
      <c r="K13" s="307">
        <f t="shared" ca="1" si="15"/>
        <v>0.43552155773738688</v>
      </c>
      <c r="L13" s="304">
        <f t="shared" ca="1" si="0"/>
        <v>0.44223946920674251</v>
      </c>
      <c r="M13" s="306">
        <f t="shared" ca="1" si="16"/>
        <v>1.3962634015954636</v>
      </c>
      <c r="N13" s="304">
        <f t="shared" ca="1" si="17"/>
        <v>80</v>
      </c>
      <c r="P13" s="310">
        <f t="shared" ca="1" si="18"/>
        <v>4</v>
      </c>
      <c r="Q13" s="304">
        <f t="shared" ca="1" si="19"/>
        <v>1266.432</v>
      </c>
      <c r="R13" s="306">
        <f t="shared" ca="1" si="20"/>
        <v>0.62236489067470235</v>
      </c>
      <c r="S13" s="307">
        <f t="shared" ca="1" si="21"/>
        <v>8.4123714823558231</v>
      </c>
      <c r="T13" s="304">
        <f t="shared" ca="1" si="1"/>
        <v>82.525364241910623</v>
      </c>
      <c r="U13" s="311">
        <f t="shared" ca="1" si="2"/>
        <v>14.330379111907442</v>
      </c>
      <c r="V13" s="306">
        <f t="shared" ca="1" si="3"/>
        <v>1.224946649770936</v>
      </c>
      <c r="W13" s="304">
        <f t="shared" ca="1" si="4"/>
        <v>0.47905695447867691</v>
      </c>
      <c r="Y13" s="314" t="str">
        <f t="shared" ca="1" si="22"/>
        <v/>
      </c>
      <c r="Z13" s="315" t="str">
        <f t="shared" ca="1" si="23"/>
        <v/>
      </c>
      <c r="AA13" s="316" t="str">
        <f t="shared" ca="1" si="24"/>
        <v/>
      </c>
      <c r="AC13" s="310" t="e">
        <f t="shared" ca="1" si="25"/>
        <v>#N/A</v>
      </c>
      <c r="AD13" s="323" t="e">
        <f t="shared" ca="1" si="26"/>
        <v>#N/A</v>
      </c>
      <c r="AE13" s="324">
        <f t="shared" ca="1" si="5"/>
        <v>0.43552155773738688</v>
      </c>
      <c r="AG13" s="306">
        <f t="shared" ca="1" si="27"/>
        <v>140.83961352875201</v>
      </c>
      <c r="AH13" s="304">
        <f t="shared" ca="1" si="28"/>
        <v>150.50057758580178</v>
      </c>
    </row>
    <row r="14" spans="1:248" x14ac:dyDescent="0.2">
      <c r="A14" s="347">
        <f t="shared" ca="1" si="6"/>
        <v>0.01</v>
      </c>
      <c r="B14" s="304">
        <f t="shared" ca="1" si="7"/>
        <v>9.9999999999999992E-2</v>
      </c>
      <c r="D14" s="306">
        <f t="shared" ca="1" si="8"/>
        <v>24.651976172711322</v>
      </c>
      <c r="E14" s="307">
        <f t="shared" ca="1" si="9"/>
        <v>139.81561718906744</v>
      </c>
      <c r="F14" s="304">
        <f t="shared" ca="1" si="10"/>
        <v>141.97227454393965</v>
      </c>
      <c r="G14" s="306">
        <f t="shared" ca="1" si="11"/>
        <v>2.1744215496325392</v>
      </c>
      <c r="H14" s="307">
        <f t="shared" ca="1" si="12"/>
        <v>12.332407773918229</v>
      </c>
      <c r="I14" s="304">
        <f t="shared" ca="1" si="13"/>
        <v>12.522635129145348</v>
      </c>
      <c r="J14" s="306">
        <f t="shared" ca="1" si="14"/>
        <v>9.730172588321935E-2</v>
      </c>
      <c r="K14" s="307">
        <f t="shared" ca="1" si="15"/>
        <v>0.55185485461711581</v>
      </c>
      <c r="L14" s="304">
        <f t="shared" ca="1" si="0"/>
        <v>0.56036720677099872</v>
      </c>
      <c r="M14" s="306">
        <f t="shared" ca="1" si="16"/>
        <v>1.3962634015954636</v>
      </c>
      <c r="N14" s="304">
        <f t="shared" ca="1" si="17"/>
        <v>80</v>
      </c>
      <c r="P14" s="310">
        <f t="shared" ca="1" si="18"/>
        <v>4</v>
      </c>
      <c r="Q14" s="304">
        <f t="shared" ca="1" si="19"/>
        <v>1275.124</v>
      </c>
      <c r="R14" s="306">
        <f t="shared" ca="1" si="20"/>
        <v>0.62663641542276971</v>
      </c>
      <c r="S14" s="307">
        <f t="shared" ca="1" si="21"/>
        <v>8.4061051182015962</v>
      </c>
      <c r="T14" s="304">
        <f t="shared" ca="1" si="1"/>
        <v>82.463891209557659</v>
      </c>
      <c r="U14" s="311">
        <f t="shared" ca="1" si="2"/>
        <v>14.319704431863689</v>
      </c>
      <c r="V14" s="306">
        <f t="shared" ca="1" si="3"/>
        <v>1.2249323996455885</v>
      </c>
      <c r="W14" s="304">
        <f t="shared" ca="1" si="4"/>
        <v>0.60939617658179934</v>
      </c>
      <c r="Y14" s="314" t="str">
        <f t="shared" ca="1" si="22"/>
        <v/>
      </c>
      <c r="Z14" s="315" t="str">
        <f t="shared" ca="1" si="23"/>
        <v/>
      </c>
      <c r="AA14" s="316" t="str">
        <f t="shared" ca="1" si="24"/>
        <v/>
      </c>
      <c r="AC14" s="310" t="e">
        <f t="shared" ca="1" si="25"/>
        <v>#N/A</v>
      </c>
      <c r="AD14" s="323" t="e">
        <f t="shared" ca="1" si="26"/>
        <v>#N/A</v>
      </c>
      <c r="AE14" s="324">
        <f t="shared" ca="1" si="5"/>
        <v>0.55185485461711581</v>
      </c>
      <c r="AG14" s="306">
        <f t="shared" ca="1" si="27"/>
        <v>141.97227453826048</v>
      </c>
      <c r="AH14" s="304">
        <f t="shared" ca="1" si="28"/>
        <v>151.63323859531025</v>
      </c>
    </row>
    <row r="15" spans="1:248" x14ac:dyDescent="0.2">
      <c r="A15" s="347">
        <f t="shared" ca="1" si="6"/>
        <v>0.01</v>
      </c>
      <c r="B15" s="304">
        <f t="shared" ca="1" si="7"/>
        <v>0.10999999999999999</v>
      </c>
      <c r="D15" s="306">
        <f t="shared" ca="1" si="8"/>
        <v>24.791847787967711</v>
      </c>
      <c r="E15" s="307">
        <f t="shared" ca="1" si="9"/>
        <v>140.60890812191514</v>
      </c>
      <c r="F15" s="304">
        <f t="shared" ca="1" si="10"/>
        <v>142.77780205612822</v>
      </c>
      <c r="G15" s="306">
        <f t="shared" ca="1" si="11"/>
        <v>2.4223400275122162</v>
      </c>
      <c r="H15" s="307">
        <f t="shared" ca="1" si="12"/>
        <v>13.738496855137381</v>
      </c>
      <c r="I15" s="304">
        <f t="shared" ca="1" si="13"/>
        <v>13.950413149706627</v>
      </c>
      <c r="J15" s="306">
        <f t="shared" ca="1" si="14"/>
        <v>0.12028553376894313</v>
      </c>
      <c r="K15" s="307">
        <f t="shared" ca="1" si="15"/>
        <v>0.68220937776239388</v>
      </c>
      <c r="L15" s="304">
        <f t="shared" ca="1" si="0"/>
        <v>0.69273244816525825</v>
      </c>
      <c r="M15" s="306">
        <f t="shared" ca="1" si="16"/>
        <v>1.3962634015954636</v>
      </c>
      <c r="N15" s="304">
        <f t="shared" ca="1" si="17"/>
        <v>80</v>
      </c>
      <c r="P15" s="310">
        <f t="shared" ca="1" si="18"/>
        <v>5</v>
      </c>
      <c r="Q15" s="304">
        <f t="shared" ca="1" si="19"/>
        <v>1281.066</v>
      </c>
      <c r="R15" s="306">
        <f t="shared" ca="1" si="20"/>
        <v>0.62955650286559262</v>
      </c>
      <c r="S15" s="307">
        <f t="shared" ca="1" si="21"/>
        <v>8.3998095531729398</v>
      </c>
      <c r="T15" s="304">
        <f t="shared" ca="1" si="1"/>
        <v>82.402131716626542</v>
      </c>
      <c r="U15" s="311">
        <f t="shared" ca="1" si="2"/>
        <v>14.308980008462568</v>
      </c>
      <c r="V15" s="306">
        <f t="shared" ca="1" si="3"/>
        <v>1.2249164322017609</v>
      </c>
      <c r="W15" s="304">
        <f t="shared" ca="1" si="4"/>
        <v>0.75626978531389555</v>
      </c>
      <c r="Y15" s="314" t="str">
        <f t="shared" ca="1" si="22"/>
        <v/>
      </c>
      <c r="Z15" s="315" t="str">
        <f t="shared" ca="1" si="23"/>
        <v/>
      </c>
      <c r="AA15" s="316" t="str">
        <f t="shared" ca="1" si="24"/>
        <v/>
      </c>
      <c r="AC15" s="310" t="e">
        <f t="shared" ca="1" si="25"/>
        <v>#N/A</v>
      </c>
      <c r="AD15" s="323" t="e">
        <f t="shared" ca="1" si="26"/>
        <v>#N/A</v>
      </c>
      <c r="AE15" s="324">
        <f t="shared" ca="1" si="5"/>
        <v>0.68220937776239388</v>
      </c>
      <c r="AG15" s="306">
        <f t="shared" ca="1" si="27"/>
        <v>142.77780205041978</v>
      </c>
      <c r="AH15" s="304">
        <f t="shared" ca="1" si="28"/>
        <v>152.43876610746955</v>
      </c>
    </row>
    <row r="16" spans="1:248" x14ac:dyDescent="0.2">
      <c r="A16" s="347">
        <f t="shared" ca="1" si="6"/>
        <v>0.01</v>
      </c>
      <c r="B16" s="304">
        <f t="shared" ca="1" si="7"/>
        <v>0.11999999999999998</v>
      </c>
      <c r="D16" s="306">
        <f t="shared" ca="1" si="8"/>
        <v>24.874746444308553</v>
      </c>
      <c r="E16" s="307">
        <f t="shared" ca="1" si="9"/>
        <v>141.07907362676795</v>
      </c>
      <c r="F16" s="304">
        <f t="shared" ca="1" si="10"/>
        <v>143.25521989112877</v>
      </c>
      <c r="G16" s="306">
        <f t="shared" ca="1" si="11"/>
        <v>2.6710874919553018</v>
      </c>
      <c r="H16" s="307">
        <f t="shared" ca="1" si="12"/>
        <v>15.149287591405061</v>
      </c>
      <c r="I16" s="304">
        <f t="shared" ca="1" si="13"/>
        <v>15.382965348617914</v>
      </c>
      <c r="J16" s="306">
        <f t="shared" ca="1" si="14"/>
        <v>0.14575267136628073</v>
      </c>
      <c r="K16" s="307">
        <f t="shared" ca="1" si="15"/>
        <v>0.82664829999510614</v>
      </c>
      <c r="L16" s="304">
        <f t="shared" ca="1" si="0"/>
        <v>0.83939934065688071</v>
      </c>
      <c r="M16" s="306">
        <f t="shared" ca="1" si="16"/>
        <v>1.3962634015954636</v>
      </c>
      <c r="N16" s="304">
        <f t="shared" ca="1" si="17"/>
        <v>80</v>
      </c>
      <c r="P16" s="310">
        <f t="shared" ca="1" si="18"/>
        <v>5</v>
      </c>
      <c r="Q16" s="304">
        <f t="shared" ca="1" si="19"/>
        <v>1284.258</v>
      </c>
      <c r="R16" s="306">
        <f t="shared" ca="1" si="20"/>
        <v>0.63112515300317107</v>
      </c>
      <c r="S16" s="307">
        <f t="shared" ca="1" si="21"/>
        <v>8.3934983016429072</v>
      </c>
      <c r="T16" s="304">
        <f t="shared" ca="1" si="1"/>
        <v>82.34021833911693</v>
      </c>
      <c r="U16" s="311">
        <f t="shared" ca="1" si="2"/>
        <v>14.298228863284818</v>
      </c>
      <c r="V16" s="306">
        <f t="shared" ca="1" si="3"/>
        <v>1.2248987397685807</v>
      </c>
      <c r="W16" s="304">
        <f t="shared" ca="1" si="4"/>
        <v>0.91955235493662291</v>
      </c>
      <c r="Y16" s="314" t="str">
        <f t="shared" ca="1" si="22"/>
        <v/>
      </c>
      <c r="Z16" s="315" t="str">
        <f t="shared" ca="1" si="23"/>
        <v/>
      </c>
      <c r="AA16" s="316" t="str">
        <f t="shared" ca="1" si="24"/>
        <v/>
      </c>
      <c r="AC16" s="310" t="e">
        <f t="shared" ca="1" si="25"/>
        <v>#N/A</v>
      </c>
      <c r="AD16" s="323" t="e">
        <f t="shared" ca="1" si="26"/>
        <v>#N/A</v>
      </c>
      <c r="AE16" s="324">
        <f t="shared" ca="1" si="5"/>
        <v>0.82664829999510614</v>
      </c>
      <c r="AG16" s="306">
        <f t="shared" ca="1" si="27"/>
        <v>143.25521988540234</v>
      </c>
      <c r="AH16" s="304">
        <f t="shared" ca="1" si="28"/>
        <v>152.91618394245211</v>
      </c>
    </row>
    <row r="17" spans="1:34" x14ac:dyDescent="0.2">
      <c r="A17" s="347">
        <f t="shared" ca="1" si="6"/>
        <v>0.01</v>
      </c>
      <c r="B17" s="304">
        <f t="shared" ca="1" si="7"/>
        <v>0.12999999999999998</v>
      </c>
      <c r="D17" s="306">
        <f t="shared" ca="1" si="8"/>
        <v>24.957479945604184</v>
      </c>
      <c r="E17" s="307">
        <f t="shared" ca="1" si="9"/>
        <v>141.54830254056819</v>
      </c>
      <c r="F17" s="304">
        <f t="shared" ca="1" si="10"/>
        <v>143.73168668512682</v>
      </c>
      <c r="G17" s="306">
        <f t="shared" ca="1" si="11"/>
        <v>2.9206622914113436</v>
      </c>
      <c r="H17" s="307">
        <f t="shared" ca="1" si="12"/>
        <v>16.564770616810744</v>
      </c>
      <c r="I17" s="304">
        <f t="shared" ca="1" si="13"/>
        <v>16.820282215469177</v>
      </c>
      <c r="J17" s="306">
        <f t="shared" ca="1" si="14"/>
        <v>0.17371142028311395</v>
      </c>
      <c r="K17" s="307">
        <f t="shared" ca="1" si="15"/>
        <v>0.98521859103618514</v>
      </c>
      <c r="L17" s="304">
        <f t="shared" ca="1" si="0"/>
        <v>1.0004155784773159</v>
      </c>
      <c r="M17" s="306">
        <f t="shared" ca="1" si="16"/>
        <v>1.3962634015954636</v>
      </c>
      <c r="N17" s="304">
        <f t="shared" ca="1" si="17"/>
        <v>80</v>
      </c>
      <c r="P17" s="310">
        <f t="shared" ca="1" si="18"/>
        <v>5</v>
      </c>
      <c r="Q17" s="304">
        <f t="shared" ca="1" si="19"/>
        <v>1287.45</v>
      </c>
      <c r="R17" s="306">
        <f t="shared" ca="1" si="20"/>
        <v>0.63269380314074941</v>
      </c>
      <c r="S17" s="307">
        <f t="shared" ca="1" si="21"/>
        <v>8.3871713636115004</v>
      </c>
      <c r="T17" s="304">
        <f t="shared" ca="1" si="1"/>
        <v>82.278151077028824</v>
      </c>
      <c r="U17" s="311">
        <f t="shared" ca="1" si="2"/>
        <v>14.287450996330444</v>
      </c>
      <c r="V17" s="306">
        <f t="shared" ca="1" si="3"/>
        <v>1.2248793166675715</v>
      </c>
      <c r="W17" s="304">
        <f t="shared" ca="1" si="4"/>
        <v>1.0994006952626767</v>
      </c>
      <c r="Y17" s="314" t="str">
        <f t="shared" ca="1" si="22"/>
        <v/>
      </c>
      <c r="Z17" s="315" t="str">
        <f t="shared" ca="1" si="23"/>
        <v/>
      </c>
      <c r="AA17" s="316" t="str">
        <f t="shared" ca="1" si="24"/>
        <v/>
      </c>
      <c r="AC17" s="310" t="e">
        <f t="shared" ca="1" si="25"/>
        <v>#N/A</v>
      </c>
      <c r="AD17" s="323" t="e">
        <f t="shared" ca="1" si="26"/>
        <v>#N/A</v>
      </c>
      <c r="AE17" s="324">
        <f t="shared" ca="1" si="5"/>
        <v>0.98521859103618514</v>
      </c>
      <c r="AG17" s="306">
        <f t="shared" ca="1" si="27"/>
        <v>143.73168667938231</v>
      </c>
      <c r="AH17" s="304">
        <f t="shared" ca="1" si="28"/>
        <v>153.39265073643207</v>
      </c>
    </row>
    <row r="18" spans="1:34" x14ac:dyDescent="0.2">
      <c r="A18" s="347">
        <f t="shared" ca="1" si="6"/>
        <v>0.01</v>
      </c>
      <c r="B18" s="304">
        <f t="shared" ca="1" si="7"/>
        <v>0.13999999999999999</v>
      </c>
      <c r="D18" s="306">
        <f t="shared" ca="1" si="8"/>
        <v>25.040045133322344</v>
      </c>
      <c r="E18" s="307">
        <f t="shared" ca="1" si="9"/>
        <v>142.01657695063631</v>
      </c>
      <c r="F18" s="304">
        <f t="shared" ca="1" si="10"/>
        <v>144.20718424910328</v>
      </c>
      <c r="G18" s="306">
        <f t="shared" ca="1" si="11"/>
        <v>3.1710627427445672</v>
      </c>
      <c r="H18" s="307">
        <f t="shared" ca="1" si="12"/>
        <v>17.984936386317106</v>
      </c>
      <c r="I18" s="304">
        <f t="shared" ca="1" si="13"/>
        <v>18.262354057960209</v>
      </c>
      <c r="J18" s="306">
        <f t="shared" ca="1" si="14"/>
        <v>0.2041700454538935</v>
      </c>
      <c r="K18" s="307">
        <f t="shared" ca="1" si="15"/>
        <v>1.1579671260518243</v>
      </c>
      <c r="L18" s="304">
        <f t="shared" ca="1" si="0"/>
        <v>1.1758287598444623</v>
      </c>
      <c r="M18" s="306">
        <f t="shared" ca="1" si="16"/>
        <v>1.3962634015954636</v>
      </c>
      <c r="N18" s="304">
        <f t="shared" ca="1" si="17"/>
        <v>80</v>
      </c>
      <c r="P18" s="310">
        <f t="shared" ca="1" si="18"/>
        <v>5</v>
      </c>
      <c r="Q18" s="304">
        <f t="shared" ca="1" si="19"/>
        <v>1290.6420000000001</v>
      </c>
      <c r="R18" s="306">
        <f t="shared" ca="1" si="20"/>
        <v>0.63426245327832775</v>
      </c>
      <c r="S18" s="307">
        <f t="shared" ca="1" si="21"/>
        <v>8.3808287390787175</v>
      </c>
      <c r="T18" s="304">
        <f t="shared" ca="1" si="1"/>
        <v>82.215929930362222</v>
      </c>
      <c r="U18" s="311">
        <f t="shared" ca="1" si="2"/>
        <v>14.276646407599442</v>
      </c>
      <c r="V18" s="306">
        <f t="shared" ca="1" si="3"/>
        <v>1.2248581572395214</v>
      </c>
      <c r="W18" s="304">
        <f t="shared" ca="1" si="4"/>
        <v>1.2959715421124673</v>
      </c>
      <c r="Y18" s="314" t="str">
        <f t="shared" ca="1" si="22"/>
        <v/>
      </c>
      <c r="Z18" s="315" t="str">
        <f t="shared" ca="1" si="23"/>
        <v/>
      </c>
      <c r="AA18" s="316" t="str">
        <f t="shared" ca="1" si="24"/>
        <v/>
      </c>
      <c r="AC18" s="310" t="e">
        <f t="shared" ca="1" si="25"/>
        <v>#N/A</v>
      </c>
      <c r="AD18" s="323" t="e">
        <f t="shared" ca="1" si="26"/>
        <v>#N/A</v>
      </c>
      <c r="AE18" s="324">
        <f t="shared" ca="1" si="5"/>
        <v>1.1579671260518243</v>
      </c>
      <c r="AG18" s="306">
        <f t="shared" ca="1" si="27"/>
        <v>144.20718424334058</v>
      </c>
      <c r="AH18" s="304">
        <f t="shared" ca="1" si="28"/>
        <v>153.86814830039035</v>
      </c>
    </row>
    <row r="19" spans="1:34" x14ac:dyDescent="0.2">
      <c r="A19" s="347">
        <f t="shared" ca="1" si="6"/>
        <v>0.01</v>
      </c>
      <c r="B19" s="304">
        <f t="shared" ca="1" si="7"/>
        <v>0.15</v>
      </c>
      <c r="D19" s="306">
        <f t="shared" ca="1" si="8"/>
        <v>25.122438839016457</v>
      </c>
      <c r="E19" s="307">
        <f t="shared" ca="1" si="9"/>
        <v>142.48387888806698</v>
      </c>
      <c r="F19" s="304">
        <f t="shared" ca="1" si="10"/>
        <v>144.68169433694595</v>
      </c>
      <c r="G19" s="306">
        <f t="shared" ca="1" si="11"/>
        <v>3.4222871311347318</v>
      </c>
      <c r="H19" s="307">
        <f t="shared" ca="1" si="12"/>
        <v>19.409775175197776</v>
      </c>
      <c r="I19" s="304">
        <f t="shared" ca="1" si="13"/>
        <v>19.709171001329668</v>
      </c>
      <c r="J19" s="306">
        <f t="shared" ca="1" si="14"/>
        <v>0.23713679482329</v>
      </c>
      <c r="K19" s="307">
        <f t="shared" ca="1" si="15"/>
        <v>1.3449406838593987</v>
      </c>
      <c r="L19" s="304">
        <f t="shared" ca="1" si="0"/>
        <v>1.3656863851409116</v>
      </c>
      <c r="M19" s="306">
        <f t="shared" ca="1" si="16"/>
        <v>1.3962634015954636</v>
      </c>
      <c r="N19" s="304">
        <f t="shared" ca="1" si="17"/>
        <v>80</v>
      </c>
      <c r="P19" s="310">
        <f t="shared" ca="1" si="18"/>
        <v>5</v>
      </c>
      <c r="Q19" s="304">
        <f t="shared" ca="1" si="19"/>
        <v>1293.8340000000001</v>
      </c>
      <c r="R19" s="306">
        <f t="shared" ca="1" si="20"/>
        <v>0.6358311034159061</v>
      </c>
      <c r="S19" s="307">
        <f t="shared" ca="1" si="21"/>
        <v>8.3744704280445585</v>
      </c>
      <c r="T19" s="304">
        <f t="shared" ca="1" si="1"/>
        <v>82.153554899117125</v>
      </c>
      <c r="U19" s="311">
        <f t="shared" ca="1" si="2"/>
        <v>14.265815097091812</v>
      </c>
      <c r="V19" s="306">
        <f t="shared" ca="1" si="3"/>
        <v>1.224835255844783</v>
      </c>
      <c r="W19" s="304">
        <f t="shared" ca="1" si="4"/>
        <v>1.509421540481493</v>
      </c>
      <c r="Y19" s="314" t="str">
        <f t="shared" ca="1" si="22"/>
        <v/>
      </c>
      <c r="Z19" s="315" t="str">
        <f t="shared" ca="1" si="23"/>
        <v/>
      </c>
      <c r="AA19" s="316" t="str">
        <f t="shared" ca="1" si="24"/>
        <v/>
      </c>
      <c r="AC19" s="310" t="e">
        <f t="shared" ca="1" si="25"/>
        <v>#N/A</v>
      </c>
      <c r="AD19" s="323" t="e">
        <f t="shared" ca="1" si="26"/>
        <v>#N/A</v>
      </c>
      <c r="AE19" s="324">
        <f t="shared" ca="1" si="5"/>
        <v>1.3449406838593987</v>
      </c>
      <c r="AG19" s="306">
        <f t="shared" ca="1" si="27"/>
        <v>144.68169433116495</v>
      </c>
      <c r="AH19" s="304">
        <f t="shared" ca="1" si="28"/>
        <v>154.34265838821472</v>
      </c>
    </row>
    <row r="20" spans="1:34" x14ac:dyDescent="0.2">
      <c r="A20" s="347">
        <f t="shared" ca="1" si="6"/>
        <v>0.01</v>
      </c>
      <c r="B20" s="304">
        <f t="shared" ca="1" si="7"/>
        <v>0.16</v>
      </c>
      <c r="D20" s="306">
        <f t="shared" ca="1" si="8"/>
        <v>25.204657884577923</v>
      </c>
      <c r="E20" s="307">
        <f t="shared" ca="1" si="9"/>
        <v>142.95019032916034</v>
      </c>
      <c r="F20" s="304">
        <f t="shared" ca="1" si="10"/>
        <v>145.15519864690268</v>
      </c>
      <c r="G20" s="306">
        <f t="shared" ca="1" si="11"/>
        <v>3.6743337099805111</v>
      </c>
      <c r="H20" s="307">
        <f t="shared" ca="1" si="12"/>
        <v>20.839277078489381</v>
      </c>
      <c r="I20" s="304">
        <f t="shared" ca="1" si="13"/>
        <v>21.160722987798692</v>
      </c>
      <c r="J20" s="306">
        <f t="shared" ca="1" si="14"/>
        <v>0.27261989902886624</v>
      </c>
      <c r="K20" s="307">
        <f t="shared" ca="1" si="15"/>
        <v>1.5461859451278346</v>
      </c>
      <c r="L20" s="304">
        <f t="shared" ca="1" si="0"/>
        <v>1.5700358550865532</v>
      </c>
      <c r="M20" s="306">
        <f t="shared" ca="1" si="16"/>
        <v>1.3962634015954636</v>
      </c>
      <c r="N20" s="304">
        <f t="shared" ca="1" si="17"/>
        <v>80</v>
      </c>
      <c r="P20" s="310">
        <f t="shared" ca="1" si="18"/>
        <v>5</v>
      </c>
      <c r="Q20" s="304">
        <f t="shared" ca="1" si="19"/>
        <v>1297.0260000000001</v>
      </c>
      <c r="R20" s="306">
        <f t="shared" ca="1" si="20"/>
        <v>0.63739975355348455</v>
      </c>
      <c r="S20" s="307">
        <f t="shared" ca="1" si="21"/>
        <v>8.3680964305090235</v>
      </c>
      <c r="T20" s="304">
        <f t="shared" ca="1" si="1"/>
        <v>82.09102598329352</v>
      </c>
      <c r="U20" s="311">
        <f t="shared" ca="1" si="2"/>
        <v>14.254957064807554</v>
      </c>
      <c r="V20" s="306">
        <f t="shared" ca="1" si="3"/>
        <v>1.2248106068635722</v>
      </c>
      <c r="W20" s="304">
        <f t="shared" ca="1" si="4"/>
        <v>1.7399072275677463</v>
      </c>
      <c r="Y20" s="314" t="str">
        <f t="shared" ca="1" si="22"/>
        <v/>
      </c>
      <c r="Z20" s="315" t="str">
        <f t="shared" ca="1" si="23"/>
        <v/>
      </c>
      <c r="AA20" s="316" t="str">
        <f t="shared" ca="1" si="24"/>
        <v/>
      </c>
      <c r="AC20" s="310" t="e">
        <f t="shared" ca="1" si="25"/>
        <v>#N/A</v>
      </c>
      <c r="AD20" s="323" t="e">
        <f t="shared" ca="1" si="26"/>
        <v>#N/A</v>
      </c>
      <c r="AE20" s="324">
        <f t="shared" ca="1" si="5"/>
        <v>1.5461859451278346</v>
      </c>
      <c r="AG20" s="306">
        <f t="shared" ca="1" si="27"/>
        <v>145.15519864110325</v>
      </c>
      <c r="AH20" s="304">
        <f t="shared" ca="1" si="28"/>
        <v>154.81616269815302</v>
      </c>
    </row>
    <row r="21" spans="1:34" x14ac:dyDescent="0.2">
      <c r="A21" s="347">
        <f t="shared" ca="1" si="6"/>
        <v>0.01</v>
      </c>
      <c r="B21" s="304">
        <f t="shared" ca="1" si="7"/>
        <v>0.17</v>
      </c>
      <c r="D21" s="306">
        <f t="shared" ca="1" si="8"/>
        <v>25.286699082492252</v>
      </c>
      <c r="E21" s="307">
        <f t="shared" ca="1" si="9"/>
        <v>143.41549319687431</v>
      </c>
      <c r="F21" s="304">
        <f t="shared" ca="1" si="10"/>
        <v>145.62767882305621</v>
      </c>
      <c r="G21" s="306">
        <f t="shared" ca="1" si="11"/>
        <v>3.9272007008054337</v>
      </c>
      <c r="H21" s="307">
        <f t="shared" ca="1" si="12"/>
        <v>22.273432010458123</v>
      </c>
      <c r="I21" s="304">
        <f t="shared" ca="1" si="13"/>
        <v>22.616999776029253</v>
      </c>
      <c r="J21" s="306">
        <f t="shared" ca="1" si="14"/>
        <v>0.31062757108279598</v>
      </c>
      <c r="K21" s="307">
        <f t="shared" ca="1" si="15"/>
        <v>1.7617494905725721</v>
      </c>
      <c r="L21" s="304">
        <f t="shared" ca="1" si="0"/>
        <v>1.7889244689056927</v>
      </c>
      <c r="M21" s="306">
        <f t="shared" ca="1" si="16"/>
        <v>1.3962634015954636</v>
      </c>
      <c r="N21" s="304">
        <f t="shared" ca="1" si="17"/>
        <v>80</v>
      </c>
      <c r="P21" s="310">
        <f t="shared" ca="1" si="18"/>
        <v>5</v>
      </c>
      <c r="Q21" s="304">
        <f t="shared" ca="1" si="19"/>
        <v>1300.2180000000001</v>
      </c>
      <c r="R21" s="306">
        <f t="shared" ca="1" si="20"/>
        <v>0.63896840369106289</v>
      </c>
      <c r="S21" s="307">
        <f t="shared" ca="1" si="21"/>
        <v>8.3617067464721124</v>
      </c>
      <c r="T21" s="304">
        <f t="shared" ca="1" si="1"/>
        <v>82.028343182891433</v>
      </c>
      <c r="U21" s="311">
        <f t="shared" ca="1" si="2"/>
        <v>14.244072310746672</v>
      </c>
      <c r="V21" s="306">
        <f t="shared" ca="1" si="3"/>
        <v>1.2247842046962685</v>
      </c>
      <c r="W21" s="304">
        <f t="shared" ca="1" si="4"/>
        <v>1.9875850156609911</v>
      </c>
      <c r="Y21" s="314" t="str">
        <f t="shared" ca="1" si="22"/>
        <v/>
      </c>
      <c r="Z21" s="315" t="str">
        <f t="shared" ca="1" si="23"/>
        <v/>
      </c>
      <c r="AA21" s="316" t="str">
        <f t="shared" ca="1" si="24"/>
        <v/>
      </c>
      <c r="AC21" s="310" t="e">
        <f t="shared" ca="1" si="25"/>
        <v>#N/A</v>
      </c>
      <c r="AD21" s="323" t="e">
        <f t="shared" ca="1" si="26"/>
        <v>#N/A</v>
      </c>
      <c r="AE21" s="324">
        <f t="shared" ca="1" si="5"/>
        <v>1.7617494905725721</v>
      </c>
      <c r="AG21" s="306">
        <f t="shared" ca="1" si="27"/>
        <v>145.62767881723821</v>
      </c>
      <c r="AH21" s="304">
        <f t="shared" ca="1" si="28"/>
        <v>155.28864287428797</v>
      </c>
    </row>
    <row r="22" spans="1:34" x14ac:dyDescent="0.2">
      <c r="A22" s="347">
        <f t="shared" ca="1" si="6"/>
        <v>0.01</v>
      </c>
      <c r="B22" s="304">
        <f t="shared" ca="1" si="7"/>
        <v>0.18000000000000002</v>
      </c>
      <c r="D22" s="306">
        <f t="shared" ca="1" si="8"/>
        <v>25.368559236098953</v>
      </c>
      <c r="E22" s="307">
        <f t="shared" ca="1" si="9"/>
        <v>143.87976936229856</v>
      </c>
      <c r="F22" s="304">
        <f t="shared" ca="1" si="10"/>
        <v>146.09911645682081</v>
      </c>
      <c r="G22" s="306">
        <f t="shared" ca="1" si="11"/>
        <v>4.1808862931664237</v>
      </c>
      <c r="H22" s="307">
        <f t="shared" ca="1" si="12"/>
        <v>23.712229704081107</v>
      </c>
      <c r="I22" s="304">
        <f t="shared" ca="1" si="13"/>
        <v>24.077990940597456</v>
      </c>
      <c r="J22" s="306">
        <f t="shared" ca="1" si="14"/>
        <v>0.3511680060526553</v>
      </c>
      <c r="K22" s="307">
        <f t="shared" ca="1" si="15"/>
        <v>1.9916777991452683</v>
      </c>
      <c r="L22" s="304">
        <f t="shared" ca="1" si="0"/>
        <v>2.0223994224888262</v>
      </c>
      <c r="M22" s="306">
        <f t="shared" ca="1" si="16"/>
        <v>1.3962634015954636</v>
      </c>
      <c r="N22" s="304">
        <f t="shared" ca="1" si="17"/>
        <v>80</v>
      </c>
      <c r="P22" s="310">
        <f t="shared" ca="1" si="18"/>
        <v>5</v>
      </c>
      <c r="Q22" s="304">
        <f t="shared" ca="1" si="19"/>
        <v>1303.4100000000001</v>
      </c>
      <c r="R22" s="306">
        <f t="shared" ca="1" si="20"/>
        <v>0.64053705382864123</v>
      </c>
      <c r="S22" s="307">
        <f t="shared" ca="1" si="21"/>
        <v>8.3553013759338253</v>
      </c>
      <c r="T22" s="304">
        <f t="shared" ca="1" si="1"/>
        <v>81.965506497910823</v>
      </c>
      <c r="U22" s="311">
        <f t="shared" ca="1" si="2"/>
        <v>14.233160834909159</v>
      </c>
      <c r="V22" s="306">
        <f t="shared" ca="1" si="3"/>
        <v>1.2247560437637157</v>
      </c>
      <c r="W22" s="304">
        <f t="shared" ca="1" si="4"/>
        <v>2.2526111748958004</v>
      </c>
      <c r="Y22" s="314" t="str">
        <f t="shared" ca="1" si="22"/>
        <v/>
      </c>
      <c r="Z22" s="315" t="str">
        <f t="shared" ca="1" si="23"/>
        <v/>
      </c>
      <c r="AA22" s="316" t="str">
        <f t="shared" ca="1" si="24"/>
        <v/>
      </c>
      <c r="AC22" s="310" t="e">
        <f t="shared" ca="1" si="25"/>
        <v>#N/A</v>
      </c>
      <c r="AD22" s="323" t="e">
        <f t="shared" ca="1" si="26"/>
        <v>#N/A</v>
      </c>
      <c r="AE22" s="324">
        <f t="shared" ca="1" si="5"/>
        <v>1.9916777991452683</v>
      </c>
      <c r="AG22" s="306">
        <f t="shared" ca="1" si="27"/>
        <v>146.09911645098416</v>
      </c>
      <c r="AH22" s="304">
        <f t="shared" ca="1" si="28"/>
        <v>155.76008050803392</v>
      </c>
    </row>
    <row r="23" spans="1:34" x14ac:dyDescent="0.2">
      <c r="A23" s="347">
        <f t="shared" ca="1" si="6"/>
        <v>0.01</v>
      </c>
      <c r="B23" s="304">
        <f t="shared" ca="1" si="7"/>
        <v>0.19000000000000003</v>
      </c>
      <c r="D23" s="306">
        <f t="shared" ca="1" si="8"/>
        <v>25.450235139855181</v>
      </c>
      <c r="E23" s="307">
        <f t="shared" ca="1" si="9"/>
        <v>144.3430006461499</v>
      </c>
      <c r="F23" s="304">
        <f t="shared" ca="1" si="10"/>
        <v>146.56949308846077</v>
      </c>
      <c r="G23" s="306">
        <f t="shared" ca="1" si="11"/>
        <v>4.4353886445649753</v>
      </c>
      <c r="H23" s="307">
        <f t="shared" ca="1" si="12"/>
        <v>25.155659710542608</v>
      </c>
      <c r="I23" s="304">
        <f t="shared" ca="1" si="13"/>
        <v>25.543685871482065</v>
      </c>
      <c r="J23" s="306">
        <f t="shared" ca="1" si="14"/>
        <v>0.39424938074131233</v>
      </c>
      <c r="K23" s="307">
        <f t="shared" ca="1" si="15"/>
        <v>2.2360172462183869</v>
      </c>
      <c r="L23" s="304">
        <f t="shared" ca="1" si="0"/>
        <v>2.2705078065492237</v>
      </c>
      <c r="M23" s="306">
        <f t="shared" ca="1" si="16"/>
        <v>1.3962634015954636</v>
      </c>
      <c r="N23" s="304">
        <f t="shared" ca="1" si="17"/>
        <v>80</v>
      </c>
      <c r="P23" s="310">
        <f t="shared" ca="1" si="18"/>
        <v>5</v>
      </c>
      <c r="Q23" s="304">
        <f t="shared" ca="1" si="19"/>
        <v>1306.6020000000001</v>
      </c>
      <c r="R23" s="306">
        <f t="shared" ca="1" si="20"/>
        <v>0.64210570396621969</v>
      </c>
      <c r="S23" s="307">
        <f t="shared" ca="1" si="21"/>
        <v>8.3488803188941638</v>
      </c>
      <c r="T23" s="304">
        <f t="shared" ca="1" si="1"/>
        <v>81.902515928351747</v>
      </c>
      <c r="U23" s="311">
        <f t="shared" ca="1" si="2"/>
        <v>14.222222637295022</v>
      </c>
      <c r="V23" s="306">
        <f t="shared" ca="1" si="3"/>
        <v>1.2247261185075256</v>
      </c>
      <c r="W23" s="304">
        <f t="shared" ca="1" si="4"/>
        <v>2.5351418158703143</v>
      </c>
      <c r="Y23" s="314" t="str">
        <f t="shared" ca="1" si="22"/>
        <v/>
      </c>
      <c r="Z23" s="315" t="str">
        <f t="shared" ca="1" si="23"/>
        <v/>
      </c>
      <c r="AA23" s="316" t="str">
        <f t="shared" ca="1" si="24"/>
        <v/>
      </c>
      <c r="AC23" s="310" t="e">
        <f t="shared" ca="1" si="25"/>
        <v>#N/A</v>
      </c>
      <c r="AD23" s="323" t="e">
        <f t="shared" ca="1" si="26"/>
        <v>#N/A</v>
      </c>
      <c r="AE23" s="324">
        <f t="shared" ca="1" si="5"/>
        <v>2.2360172462183869</v>
      </c>
      <c r="AG23" s="306">
        <f t="shared" ca="1" si="27"/>
        <v>146.56949308260531</v>
      </c>
      <c r="AH23" s="304">
        <f t="shared" ca="1" si="28"/>
        <v>156.23045713965507</v>
      </c>
    </row>
    <row r="24" spans="1:34" x14ac:dyDescent="0.2">
      <c r="A24" s="347">
        <f t="shared" ca="1" si="6"/>
        <v>0.01</v>
      </c>
      <c r="B24" s="304">
        <f t="shared" ca="1" si="7"/>
        <v>0.20000000000000004</v>
      </c>
      <c r="D24" s="306">
        <f t="shared" ca="1" si="8"/>
        <v>25.531723579603181</v>
      </c>
      <c r="E24" s="307">
        <f t="shared" ca="1" si="9"/>
        <v>144.80516882028877</v>
      </c>
      <c r="F24" s="304">
        <f t="shared" ca="1" si="10"/>
        <v>147.0387902086303</v>
      </c>
      <c r="G24" s="306">
        <f t="shared" ca="1" si="11"/>
        <v>4.6907058803610067</v>
      </c>
      <c r="H24" s="307">
        <f t="shared" ca="1" si="12"/>
        <v>26.603711398745496</v>
      </c>
      <c r="I24" s="304">
        <f t="shared" ca="1" si="13"/>
        <v>27.01407377356837</v>
      </c>
      <c r="J24" s="306">
        <f t="shared" ca="1" si="14"/>
        <v>0.43987985336594226</v>
      </c>
      <c r="K24" s="307">
        <f t="shared" ca="1" si="15"/>
        <v>2.4948141017648275</v>
      </c>
      <c r="L24" s="304">
        <f t="shared" ca="1" si="0"/>
        <v>2.5332966047744758</v>
      </c>
      <c r="M24" s="306">
        <f t="shared" ca="1" si="16"/>
        <v>1.3962634015954636</v>
      </c>
      <c r="N24" s="304">
        <f t="shared" ca="1" si="17"/>
        <v>80</v>
      </c>
      <c r="P24" s="310">
        <f t="shared" ca="1" si="18"/>
        <v>5</v>
      </c>
      <c r="Q24" s="304">
        <f t="shared" ca="1" si="19"/>
        <v>1309.7940000000001</v>
      </c>
      <c r="R24" s="306">
        <f t="shared" ca="1" si="20"/>
        <v>0.64367435410379803</v>
      </c>
      <c r="S24" s="307">
        <f t="shared" ca="1" si="21"/>
        <v>8.3424435753531263</v>
      </c>
      <c r="T24" s="304">
        <f t="shared" ca="1" si="1"/>
        <v>81.839371474214175</v>
      </c>
      <c r="U24" s="311">
        <f t="shared" ca="1" si="2"/>
        <v>14.21125771790426</v>
      </c>
      <c r="V24" s="306">
        <f t="shared" ca="1" si="3"/>
        <v>1.2246944233903758</v>
      </c>
      <c r="W24" s="304">
        <f t="shared" ca="1" si="4"/>
        <v>2.8353328721327031</v>
      </c>
      <c r="Y24" s="314" t="str">
        <f t="shared" ca="1" si="22"/>
        <v/>
      </c>
      <c r="Z24" s="315" t="str">
        <f t="shared" ca="1" si="23"/>
        <v/>
      </c>
      <c r="AA24" s="316" t="str">
        <f t="shared" ca="1" si="24"/>
        <v/>
      </c>
      <c r="AC24" s="310" t="e">
        <f t="shared" ca="1" si="25"/>
        <v>#N/A</v>
      </c>
      <c r="AD24" s="323" t="e">
        <f t="shared" ca="1" si="26"/>
        <v>#N/A</v>
      </c>
      <c r="AE24" s="324">
        <f t="shared" ca="1" si="5"/>
        <v>2.4948141017648275</v>
      </c>
      <c r="AG24" s="306">
        <f t="shared" ca="1" si="27"/>
        <v>147.03879020275593</v>
      </c>
      <c r="AH24" s="304">
        <f t="shared" ca="1" si="28"/>
        <v>156.6997542598057</v>
      </c>
    </row>
    <row r="25" spans="1:34" x14ac:dyDescent="0.2">
      <c r="A25" s="347">
        <f t="shared" ca="1" si="6"/>
        <v>0.01</v>
      </c>
      <c r="B25" s="304">
        <f t="shared" ca="1" si="7"/>
        <v>0.21000000000000005</v>
      </c>
      <c r="D25" s="306">
        <f t="shared" ca="1" si="8"/>
        <v>25.590173871701847</v>
      </c>
      <c r="E25" s="307">
        <f t="shared" ca="1" si="9"/>
        <v>145.13667487488388</v>
      </c>
      <c r="F25" s="304">
        <f t="shared" ca="1" si="10"/>
        <v>147.37540972808756</v>
      </c>
      <c r="G25" s="306">
        <f t="shared" ca="1" si="11"/>
        <v>4.9466076190780255</v>
      </c>
      <c r="H25" s="307">
        <f t="shared" ca="1" si="12"/>
        <v>28.055078147494335</v>
      </c>
      <c r="I25" s="304">
        <f t="shared" ca="1" si="13"/>
        <v>28.487827870849241</v>
      </c>
      <c r="J25" s="306">
        <f t="shared" ca="1" si="14"/>
        <v>0.48806642086313745</v>
      </c>
      <c r="K25" s="307">
        <f t="shared" ca="1" si="15"/>
        <v>2.7681080494960266</v>
      </c>
      <c r="L25" s="304">
        <f t="shared" ca="1" si="0"/>
        <v>2.8108061129965636</v>
      </c>
      <c r="M25" s="306">
        <f t="shared" ca="1" si="16"/>
        <v>1.3962634015954636</v>
      </c>
      <c r="N25" s="304">
        <f t="shared" ca="1" si="17"/>
        <v>80</v>
      </c>
      <c r="P25" s="310">
        <f t="shared" ca="1" si="18"/>
        <v>6</v>
      </c>
      <c r="Q25" s="304">
        <f t="shared" ca="1" si="19"/>
        <v>1311.89</v>
      </c>
      <c r="R25" s="306">
        <f t="shared" ca="1" si="20"/>
        <v>0.64470439504626798</v>
      </c>
      <c r="S25" s="307">
        <f t="shared" ca="1" si="21"/>
        <v>8.3359965314026638</v>
      </c>
      <c r="T25" s="304">
        <f t="shared" ca="1" si="1"/>
        <v>81.776125973060132</v>
      </c>
      <c r="U25" s="311">
        <f t="shared" ca="1" si="2"/>
        <v>14.200275251883228</v>
      </c>
      <c r="V25" s="306">
        <f t="shared" ca="1" si="3"/>
        <v>1.2246609536897779</v>
      </c>
      <c r="W25" s="304">
        <f t="shared" ca="1" si="4"/>
        <v>3.1530488119221536</v>
      </c>
      <c r="Y25" s="314" t="str">
        <f t="shared" ca="1" si="22"/>
        <v/>
      </c>
      <c r="Z25" s="315" t="str">
        <f t="shared" ca="1" si="23"/>
        <v/>
      </c>
      <c r="AA25" s="316" t="str">
        <f t="shared" ca="1" si="24"/>
        <v/>
      </c>
      <c r="AC25" s="310" t="e">
        <f t="shared" ca="1" si="25"/>
        <v>#N/A</v>
      </c>
      <c r="AD25" s="323" t="e">
        <f t="shared" ca="1" si="26"/>
        <v>#N/A</v>
      </c>
      <c r="AE25" s="324">
        <f t="shared" ca="1" si="5"/>
        <v>2.7681080494960266</v>
      </c>
      <c r="AG25" s="306">
        <f t="shared" ca="1" si="27"/>
        <v>147.3754097221987</v>
      </c>
      <c r="AH25" s="304">
        <f t="shared" ca="1" si="28"/>
        <v>157.03637377924846</v>
      </c>
    </row>
    <row r="26" spans="1:34" x14ac:dyDescent="0.2">
      <c r="A26" s="347">
        <f t="shared" ca="1" si="6"/>
        <v>0.01</v>
      </c>
      <c r="B26" s="304">
        <f t="shared" ca="1" si="7"/>
        <v>0.22000000000000006</v>
      </c>
      <c r="D26" s="306">
        <f t="shared" ca="1" si="8"/>
        <v>25.625517909145433</v>
      </c>
      <c r="E26" s="307">
        <f t="shared" ca="1" si="9"/>
        <v>145.33713253645573</v>
      </c>
      <c r="F26" s="304">
        <f t="shared" ca="1" si="10"/>
        <v>147.57895941505765</v>
      </c>
      <c r="G26" s="306">
        <f t="shared" ca="1" si="11"/>
        <v>5.2028627981694795</v>
      </c>
      <c r="H26" s="307">
        <f t="shared" ca="1" si="12"/>
        <v>29.508449472858892</v>
      </c>
      <c r="I26" s="304">
        <f t="shared" ca="1" si="13"/>
        <v>29.963617464999817</v>
      </c>
      <c r="J26" s="306">
        <f t="shared" ca="1" si="14"/>
        <v>0.53881377294937494</v>
      </c>
      <c r="K26" s="307">
        <f t="shared" ca="1" si="15"/>
        <v>3.0559256875977927</v>
      </c>
      <c r="L26" s="304">
        <f t="shared" ca="1" si="0"/>
        <v>3.1030633396758085</v>
      </c>
      <c r="M26" s="306">
        <f t="shared" ca="1" si="16"/>
        <v>1.3962634015954636</v>
      </c>
      <c r="N26" s="304">
        <f t="shared" ca="1" si="17"/>
        <v>80</v>
      </c>
      <c r="P26" s="310">
        <f t="shared" ca="1" si="18"/>
        <v>6</v>
      </c>
      <c r="Q26" s="304">
        <f t="shared" ca="1" si="19"/>
        <v>1312.89</v>
      </c>
      <c r="R26" s="306">
        <f t="shared" ca="1" si="20"/>
        <v>0.64519582679362963</v>
      </c>
      <c r="S26" s="307">
        <f t="shared" ca="1" si="21"/>
        <v>8.3295445731347275</v>
      </c>
      <c r="T26" s="304">
        <f t="shared" ca="1" si="1"/>
        <v>81.712832262451684</v>
      </c>
      <c r="U26" s="311">
        <f t="shared" ca="1" si="2"/>
        <v>14.189284414378294</v>
      </c>
      <c r="V26" s="306">
        <f t="shared" ca="1" si="3"/>
        <v>1.224625706293957</v>
      </c>
      <c r="W26" s="304">
        <f t="shared" ca="1" si="4"/>
        <v>3.4880926257118077</v>
      </c>
      <c r="Y26" s="314" t="str">
        <f t="shared" ca="1" si="22"/>
        <v/>
      </c>
      <c r="Z26" s="315" t="str">
        <f t="shared" ca="1" si="23"/>
        <v/>
      </c>
      <c r="AA26" s="316" t="str">
        <f t="shared" ca="1" si="24"/>
        <v/>
      </c>
      <c r="AC26" s="310" t="e">
        <f t="shared" ca="1" si="25"/>
        <v>#N/A</v>
      </c>
      <c r="AD26" s="323" t="e">
        <f t="shared" ca="1" si="26"/>
        <v>#N/A</v>
      </c>
      <c r="AE26" s="324">
        <f t="shared" ca="1" si="5"/>
        <v>3.0559256875977927</v>
      </c>
      <c r="AG26" s="306">
        <f t="shared" ca="1" si="27"/>
        <v>147.57895940915884</v>
      </c>
      <c r="AH26" s="304">
        <f t="shared" ca="1" si="28"/>
        <v>157.23992346620861</v>
      </c>
    </row>
    <row r="27" spans="1:34" x14ac:dyDescent="0.2">
      <c r="A27" s="347">
        <f t="shared" ca="1" si="6"/>
        <v>0.01</v>
      </c>
      <c r="B27" s="304">
        <f t="shared" ca="1" si="7"/>
        <v>0.23000000000000007</v>
      </c>
      <c r="D27" s="306">
        <f t="shared" ca="1" si="8"/>
        <v>25.660571366050135</v>
      </c>
      <c r="E27" s="307">
        <f t="shared" ca="1" si="9"/>
        <v>145.53594225647828</v>
      </c>
      <c r="F27" s="304">
        <f t="shared" ca="1" si="10"/>
        <v>147.78083573763254</v>
      </c>
      <c r="G27" s="306">
        <f t="shared" ca="1" si="11"/>
        <v>5.4594685118299804</v>
      </c>
      <c r="H27" s="307">
        <f t="shared" ca="1" si="12"/>
        <v>30.963808895423675</v>
      </c>
      <c r="I27" s="304">
        <f t="shared" ca="1" si="13"/>
        <v>31.441425822376146</v>
      </c>
      <c r="J27" s="306">
        <f t="shared" ca="1" si="14"/>
        <v>0.59212542949937219</v>
      </c>
      <c r="K27" s="307">
        <f t="shared" ca="1" si="15"/>
        <v>3.3582869794392054</v>
      </c>
      <c r="L27" s="304">
        <f t="shared" ca="1" si="0"/>
        <v>3.4100885561126879</v>
      </c>
      <c r="M27" s="306">
        <f t="shared" ca="1" si="16"/>
        <v>1.3962634015954636</v>
      </c>
      <c r="N27" s="304">
        <f t="shared" ca="1" si="17"/>
        <v>80</v>
      </c>
      <c r="P27" s="310">
        <f t="shared" ca="1" si="18"/>
        <v>6</v>
      </c>
      <c r="Q27" s="304">
        <f t="shared" ca="1" si="19"/>
        <v>1313.89</v>
      </c>
      <c r="R27" s="306">
        <f t="shared" ca="1" si="20"/>
        <v>0.64568725854099129</v>
      </c>
      <c r="S27" s="307">
        <f t="shared" ca="1" si="21"/>
        <v>8.3230877005493173</v>
      </c>
      <c r="T27" s="304">
        <f t="shared" ca="1" si="1"/>
        <v>81.649490342388802</v>
      </c>
      <c r="U27" s="311">
        <f t="shared" ca="1" si="2"/>
        <v>14.17828520538945</v>
      </c>
      <c r="V27" s="306">
        <f t="shared" ca="1" si="3"/>
        <v>1.2245886789117315</v>
      </c>
      <c r="W27" s="304">
        <f t="shared" ca="1" si="4"/>
        <v>3.8405272824067538</v>
      </c>
      <c r="Y27" s="314" t="str">
        <f t="shared" ca="1" si="22"/>
        <v/>
      </c>
      <c r="Z27" s="315" t="str">
        <f t="shared" ca="1" si="23"/>
        <v/>
      </c>
      <c r="AA27" s="316" t="str">
        <f t="shared" ca="1" si="24"/>
        <v/>
      </c>
      <c r="AC27" s="310" t="e">
        <f t="shared" ca="1" si="25"/>
        <v>#N/A</v>
      </c>
      <c r="AD27" s="323" t="e">
        <f t="shared" ca="1" si="26"/>
        <v>#N/A</v>
      </c>
      <c r="AE27" s="324">
        <f t="shared" ca="1" si="5"/>
        <v>3.3582869794392054</v>
      </c>
      <c r="AG27" s="306">
        <f t="shared" ca="1" si="27"/>
        <v>147.78083573172367</v>
      </c>
      <c r="AH27" s="304">
        <f t="shared" ca="1" si="28"/>
        <v>157.44179978877344</v>
      </c>
    </row>
    <row r="28" spans="1:34" x14ac:dyDescent="0.2">
      <c r="A28" s="347">
        <f t="shared" ca="1" si="6"/>
        <v>0.01</v>
      </c>
      <c r="B28" s="304">
        <f t="shared" ca="1" si="7"/>
        <v>0.24000000000000007</v>
      </c>
      <c r="D28" s="306">
        <f t="shared" ca="1" si="8"/>
        <v>25.695332312983396</v>
      </c>
      <c r="E28" s="307">
        <f t="shared" ca="1" si="9"/>
        <v>145.73309309266907</v>
      </c>
      <c r="F28" s="304">
        <f t="shared" ca="1" si="10"/>
        <v>147.98102758472518</v>
      </c>
      <c r="G28" s="306">
        <f t="shared" ca="1" si="11"/>
        <v>5.7164218349598146</v>
      </c>
      <c r="H28" s="307">
        <f t="shared" ca="1" si="12"/>
        <v>32.421139826350363</v>
      </c>
      <c r="I28" s="304">
        <f t="shared" ca="1" si="13"/>
        <v>32.921236098223389</v>
      </c>
      <c r="J28" s="306">
        <f t="shared" ca="1" si="14"/>
        <v>0.64800488123332123</v>
      </c>
      <c r="K28" s="307">
        <f t="shared" ca="1" si="15"/>
        <v>3.6752117230480756</v>
      </c>
      <c r="L28" s="304">
        <f t="shared" ca="1" si="0"/>
        <v>3.7319018657156855</v>
      </c>
      <c r="M28" s="306">
        <f t="shared" ca="1" si="16"/>
        <v>1.3962634015954636</v>
      </c>
      <c r="N28" s="304">
        <f t="shared" ca="1" si="17"/>
        <v>80</v>
      </c>
      <c r="P28" s="310">
        <f t="shared" ca="1" si="18"/>
        <v>6</v>
      </c>
      <c r="Q28" s="304">
        <f t="shared" ca="1" si="19"/>
        <v>1314.89</v>
      </c>
      <c r="R28" s="306">
        <f t="shared" ca="1" si="20"/>
        <v>0.64617869028835295</v>
      </c>
      <c r="S28" s="307">
        <f t="shared" ca="1" si="21"/>
        <v>8.3166259136464333</v>
      </c>
      <c r="T28" s="304">
        <f t="shared" ca="1" si="1"/>
        <v>81.586100212871514</v>
      </c>
      <c r="U28" s="311">
        <f t="shared" ca="1" si="2"/>
        <v>14.167277624916702</v>
      </c>
      <c r="V28" s="306">
        <f t="shared" ca="1" si="3"/>
        <v>1.2245498692802115</v>
      </c>
      <c r="W28" s="304">
        <f t="shared" ca="1" si="4"/>
        <v>4.2104148873184792</v>
      </c>
      <c r="Y28" s="314" t="str">
        <f t="shared" ca="1" si="22"/>
        <v>Sortie de rampe</v>
      </c>
      <c r="Z28" s="315" t="str">
        <f t="shared" ca="1" si="23"/>
        <v/>
      </c>
      <c r="AA28" s="316" t="str">
        <f t="shared" ca="1" si="24"/>
        <v/>
      </c>
      <c r="AC28" s="310" t="e">
        <f t="shared" ca="1" si="25"/>
        <v>#N/A</v>
      </c>
      <c r="AD28" s="323" t="e">
        <f t="shared" ca="1" si="26"/>
        <v>#N/A</v>
      </c>
      <c r="AE28" s="324">
        <f t="shared" ca="1" si="5"/>
        <v>3.6752117230480756</v>
      </c>
      <c r="AG28" s="306">
        <f t="shared" ca="1" si="27"/>
        <v>147.98102757880611</v>
      </c>
      <c r="AH28" s="304">
        <f t="shared" ca="1" si="28"/>
        <v>157.64199163585587</v>
      </c>
    </row>
    <row r="29" spans="1:34" x14ac:dyDescent="0.2">
      <c r="A29" s="347">
        <f t="shared" ca="1" si="6"/>
        <v>0.01</v>
      </c>
      <c r="B29" s="304">
        <f t="shared" ca="1" si="7"/>
        <v>0.25000000000000006</v>
      </c>
      <c r="D29" s="306">
        <f t="shared" ca="1" si="8"/>
        <v>25.729798831521514</v>
      </c>
      <c r="E29" s="307">
        <f t="shared" ca="1" si="9"/>
        <v>145.92857416518015</v>
      </c>
      <c r="F29" s="304">
        <f t="shared" ca="1" si="10"/>
        <v>148.17952390864619</v>
      </c>
      <c r="G29" s="306">
        <f t="shared" ca="1" si="11"/>
        <v>5.9737198232750295</v>
      </c>
      <c r="H29" s="307">
        <f t="shared" ca="1" si="12"/>
        <v>33.880425568002167</v>
      </c>
      <c r="I29" s="304">
        <f t="shared" ca="1" si="13"/>
        <v>34.403031337309855</v>
      </c>
      <c r="J29" s="306">
        <f t="shared" ca="1" si="14"/>
        <v>0.7064555895244955</v>
      </c>
      <c r="K29" s="307">
        <f t="shared" ca="1" si="15"/>
        <v>4.006719550019838</v>
      </c>
      <c r="L29" s="304">
        <f t="shared" ca="1" si="0"/>
        <v>4.0685232028933518</v>
      </c>
      <c r="M29" s="306">
        <f t="shared" ca="1" si="16"/>
        <v>1.3962634015954636</v>
      </c>
      <c r="N29" s="304">
        <f t="shared" ca="1" si="17"/>
        <v>80</v>
      </c>
      <c r="P29" s="310">
        <f t="shared" ca="1" si="18"/>
        <v>6</v>
      </c>
      <c r="Q29" s="304">
        <f t="shared" ca="1" si="19"/>
        <v>1315.89</v>
      </c>
      <c r="R29" s="306">
        <f t="shared" ca="1" si="20"/>
        <v>0.64667012203571461</v>
      </c>
      <c r="S29" s="307">
        <f t="shared" ca="1" si="21"/>
        <v>8.3101592124260755</v>
      </c>
      <c r="T29" s="304">
        <f t="shared" ca="1" si="1"/>
        <v>81.522661873899807</v>
      </c>
      <c r="U29" s="311">
        <f t="shared" ca="1" si="2"/>
        <v>0</v>
      </c>
      <c r="V29" s="306">
        <f t="shared" ca="1" si="3"/>
        <v>1.2245092751649622</v>
      </c>
      <c r="W29" s="304">
        <f t="shared" ca="1" si="4"/>
        <v>4.5978166722008877</v>
      </c>
      <c r="Y29" s="314" t="str">
        <f t="shared" ca="1" si="22"/>
        <v/>
      </c>
      <c r="Z29" s="315" t="str">
        <f t="shared" ca="1" si="23"/>
        <v/>
      </c>
      <c r="AA29" s="316" t="str">
        <f t="shared" ca="1" si="24"/>
        <v/>
      </c>
      <c r="AC29" s="310" t="e">
        <f t="shared" ca="1" si="25"/>
        <v>#N/A</v>
      </c>
      <c r="AD29" s="323" t="e">
        <f t="shared" ca="1" si="26"/>
        <v>#N/A</v>
      </c>
      <c r="AE29" s="324">
        <f t="shared" ca="1" si="5"/>
        <v>4.006719550019838</v>
      </c>
      <c r="AG29" s="306">
        <f t="shared" ca="1" si="27"/>
        <v>148.17952390271685</v>
      </c>
      <c r="AH29" s="304">
        <f t="shared" ca="1" si="28"/>
        <v>157.84048795976662</v>
      </c>
    </row>
    <row r="30" spans="1:34" x14ac:dyDescent="0.2">
      <c r="A30" s="347">
        <f t="shared" ca="1" si="6"/>
        <v>0.01</v>
      </c>
      <c r="B30" s="304">
        <f t="shared" ca="1" si="7"/>
        <v>0.26000000000000006</v>
      </c>
      <c r="D30" s="306">
        <f t="shared" ca="1" si="8"/>
        <v>27.442885289521875</v>
      </c>
      <c r="E30" s="307">
        <f t="shared" ca="1" si="9"/>
        <v>145.82633642031962</v>
      </c>
      <c r="F30" s="304">
        <f t="shared" ca="1" si="10"/>
        <v>148.38609216091007</v>
      </c>
      <c r="G30" s="306">
        <f t="shared" ca="1" si="11"/>
        <v>6.2481486761702483</v>
      </c>
      <c r="H30" s="307">
        <f t="shared" ca="1" si="12"/>
        <v>35.338688932205365</v>
      </c>
      <c r="I30" s="304">
        <f t="shared" ca="1" si="13"/>
        <v>35.886798371082115</v>
      </c>
      <c r="J30" s="306">
        <f t="shared" ca="1" si="14"/>
        <v>0.76756493202172194</v>
      </c>
      <c r="K30" s="307">
        <f t="shared" ca="1" si="15"/>
        <v>4.3528151225208758</v>
      </c>
      <c r="L30" s="304">
        <f t="shared" ca="1" si="0"/>
        <v>4.4199723320079665</v>
      </c>
      <c r="M30" s="306">
        <f t="shared" ca="1" si="16"/>
        <v>1.3957973158643802</v>
      </c>
      <c r="N30" s="304">
        <f t="shared" ca="1" si="17"/>
        <v>79.973295254717655</v>
      </c>
      <c r="P30" s="310">
        <f t="shared" ca="1" si="18"/>
        <v>6</v>
      </c>
      <c r="Q30" s="304">
        <f t="shared" ca="1" si="19"/>
        <v>1316.89</v>
      </c>
      <c r="R30" s="306">
        <f t="shared" ca="1" si="20"/>
        <v>0.64716155378307627</v>
      </c>
      <c r="S30" s="307">
        <f t="shared" ca="1" si="21"/>
        <v>8.3036875968882455</v>
      </c>
      <c r="T30" s="304">
        <f t="shared" ca="1" si="1"/>
        <v>81.459175325473694</v>
      </c>
      <c r="U30" s="311">
        <f t="shared" ca="1" si="2"/>
        <v>0</v>
      </c>
      <c r="V30" s="306">
        <f t="shared" ca="1" si="3"/>
        <v>1.2244668961726113</v>
      </c>
      <c r="W30" s="304">
        <f t="shared" ca="1" si="4"/>
        <v>5.0027940791405685</v>
      </c>
      <c r="Y30" s="314" t="str">
        <f t="shared" ca="1" si="22"/>
        <v/>
      </c>
      <c r="Z30" s="315" t="str">
        <f t="shared" ca="1" si="23"/>
        <v/>
      </c>
      <c r="AA30" s="316" t="str">
        <f t="shared" ca="1" si="24"/>
        <v/>
      </c>
      <c r="AC30" s="310" t="e">
        <f t="shared" ca="1" si="25"/>
        <v>#N/A</v>
      </c>
      <c r="AD30" s="323" t="e">
        <f t="shared" ca="1" si="26"/>
        <v>#N/A</v>
      </c>
      <c r="AE30" s="324">
        <f t="shared" ca="1" si="5"/>
        <v>4.3528151225208758</v>
      </c>
      <c r="AG30" s="306">
        <f t="shared" ca="1" si="27"/>
        <v>148.37631372054537</v>
      </c>
      <c r="AH30" s="304">
        <f t="shared" ca="1" si="28"/>
        <v>158.03727777759514</v>
      </c>
    </row>
    <row r="31" spans="1:34" x14ac:dyDescent="0.2">
      <c r="A31" s="347">
        <f t="shared" ca="1" si="6"/>
        <v>0.01</v>
      </c>
      <c r="B31" s="304">
        <f t="shared" ca="1" si="7"/>
        <v>0.27000000000000007</v>
      </c>
      <c r="D31" s="306">
        <f t="shared" ca="1" si="8"/>
        <v>27.549385660192467</v>
      </c>
      <c r="E31" s="307">
        <f t="shared" ca="1" si="9"/>
        <v>146.00562164676856</v>
      </c>
      <c r="F31" s="304">
        <f t="shared" ca="1" si="10"/>
        <v>148.58199824579472</v>
      </c>
      <c r="G31" s="306">
        <f t="shared" ca="1" si="11"/>
        <v>6.5236425327721728</v>
      </c>
      <c r="H31" s="307">
        <f t="shared" ca="1" si="12"/>
        <v>36.798745148673049</v>
      </c>
      <c r="I31" s="304">
        <f t="shared" ca="1" si="13"/>
        <v>37.372524084043114</v>
      </c>
      <c r="J31" s="306">
        <f t="shared" ca="1" si="14"/>
        <v>0.83142388806643408</v>
      </c>
      <c r="K31" s="307">
        <f t="shared" ca="1" si="15"/>
        <v>4.7135022929252681</v>
      </c>
      <c r="L31" s="304">
        <f t="shared" ca="1" si="0"/>
        <v>4.7862688544480312</v>
      </c>
      <c r="M31" s="306">
        <f t="shared" ca="1" si="16"/>
        <v>1.3953402979410439</v>
      </c>
      <c r="N31" s="304">
        <f t="shared" ca="1" si="17"/>
        <v>79.947110056548652</v>
      </c>
      <c r="P31" s="310">
        <f t="shared" ca="1" si="18"/>
        <v>6</v>
      </c>
      <c r="Q31" s="304">
        <f t="shared" ca="1" si="19"/>
        <v>1317.89</v>
      </c>
      <c r="R31" s="306">
        <f t="shared" ca="1" si="20"/>
        <v>0.64765298553043793</v>
      </c>
      <c r="S31" s="307">
        <f t="shared" ca="1" si="21"/>
        <v>8.2972110670329418</v>
      </c>
      <c r="T31" s="304">
        <f t="shared" ca="1" si="1"/>
        <v>81.395640567593162</v>
      </c>
      <c r="U31" s="311">
        <f t="shared" ca="1" si="2"/>
        <v>0</v>
      </c>
      <c r="V31" s="306">
        <f t="shared" ca="1" si="3"/>
        <v>1.2244227320168148</v>
      </c>
      <c r="W31" s="304">
        <f t="shared" ca="1" si="4"/>
        <v>5.4254078866293289</v>
      </c>
      <c r="Y31" s="314" t="str">
        <f t="shared" ca="1" si="22"/>
        <v/>
      </c>
      <c r="Z31" s="315" t="str">
        <f t="shared" ca="1" si="23"/>
        <v/>
      </c>
      <c r="AA31" s="316" t="str">
        <f t="shared" ca="1" si="24"/>
        <v/>
      </c>
      <c r="AC31" s="310" t="e">
        <f t="shared" ca="1" si="25"/>
        <v>#N/A</v>
      </c>
      <c r="AD31" s="323" t="e">
        <f t="shared" ca="1" si="26"/>
        <v>#N/A</v>
      </c>
      <c r="AE31" s="324">
        <f t="shared" ca="1" si="5"/>
        <v>4.7135022929252681</v>
      </c>
      <c r="AG31" s="306">
        <f t="shared" ca="1" si="27"/>
        <v>148.57218100478008</v>
      </c>
      <c r="AH31" s="304">
        <f t="shared" ca="1" si="28"/>
        <v>158.23235004076426</v>
      </c>
    </row>
    <row r="32" spans="1:34" x14ac:dyDescent="0.2">
      <c r="A32" s="347">
        <f t="shared" ca="1" si="6"/>
        <v>0.01</v>
      </c>
      <c r="B32" s="304">
        <f t="shared" ca="1" si="7"/>
        <v>0.28000000000000008</v>
      </c>
      <c r="D32" s="306">
        <f t="shared" ca="1" si="8"/>
        <v>27.654342844032065</v>
      </c>
      <c r="E32" s="307">
        <f t="shared" ca="1" si="9"/>
        <v>146.1833901128586</v>
      </c>
      <c r="F32" s="304">
        <f t="shared" ca="1" si="10"/>
        <v>148.77616147428819</v>
      </c>
      <c r="G32" s="306">
        <f t="shared" ca="1" si="11"/>
        <v>6.8001859612124935</v>
      </c>
      <c r="H32" s="307">
        <f t="shared" ca="1" si="12"/>
        <v>38.260579049801635</v>
      </c>
      <c r="I32" s="304">
        <f t="shared" ca="1" si="13"/>
        <v>38.860190919927184</v>
      </c>
      <c r="J32" s="306">
        <f t="shared" ca="1" si="14"/>
        <v>0.89804303053635737</v>
      </c>
      <c r="K32" s="307">
        <f t="shared" ca="1" si="15"/>
        <v>5.0887989139176417</v>
      </c>
      <c r="L32" s="304">
        <f t="shared" ca="1" si="0"/>
        <v>5.167432212519512</v>
      </c>
      <c r="M32" s="306">
        <f t="shared" ca="1" si="16"/>
        <v>1.3948996397811209</v>
      </c>
      <c r="N32" s="304">
        <f t="shared" ca="1" si="17"/>
        <v>79.921862203777053</v>
      </c>
      <c r="P32" s="310">
        <f t="shared" ca="1" si="18"/>
        <v>6</v>
      </c>
      <c r="Q32" s="304">
        <f t="shared" ca="1" si="19"/>
        <v>1318.89</v>
      </c>
      <c r="R32" s="306">
        <f t="shared" ca="1" si="20"/>
        <v>0.64814441727779959</v>
      </c>
      <c r="S32" s="307">
        <f t="shared" ca="1" si="21"/>
        <v>8.2907296228601641</v>
      </c>
      <c r="T32" s="304">
        <f t="shared" ca="1" si="1"/>
        <v>81.33205760025821</v>
      </c>
      <c r="U32" s="311">
        <f t="shared" ca="1" si="2"/>
        <v>0</v>
      </c>
      <c r="V32" s="306">
        <f t="shared" ca="1" si="3"/>
        <v>1.2243767807049286</v>
      </c>
      <c r="W32" s="304">
        <f t="shared" ca="1" si="4"/>
        <v>5.8657168445834502</v>
      </c>
      <c r="Y32" s="314" t="str">
        <f t="shared" ca="1" si="22"/>
        <v/>
      </c>
      <c r="Z32" s="315" t="str">
        <f t="shared" ca="1" si="23"/>
        <v/>
      </c>
      <c r="AA32" s="316" t="str">
        <f t="shared" ca="1" si="24"/>
        <v/>
      </c>
      <c r="AC32" s="310" t="e">
        <f t="shared" ca="1" si="25"/>
        <v>#N/A</v>
      </c>
      <c r="AD32" s="323" t="e">
        <f t="shared" ca="1" si="26"/>
        <v>#N/A</v>
      </c>
      <c r="AE32" s="324">
        <f t="shared" ca="1" si="5"/>
        <v>5.0887989139176417</v>
      </c>
      <c r="AG32" s="306">
        <f t="shared" ca="1" si="27"/>
        <v>148.76630629557008</v>
      </c>
      <c r="AH32" s="304">
        <f t="shared" ca="1" si="28"/>
        <v>158.42569374011831</v>
      </c>
    </row>
    <row r="33" spans="1:34" x14ac:dyDescent="0.2">
      <c r="A33" s="347">
        <f t="shared" ca="1" si="6"/>
        <v>0.01</v>
      </c>
      <c r="B33" s="304">
        <f t="shared" ca="1" si="7"/>
        <v>0.29000000000000009</v>
      </c>
      <c r="D33" s="306">
        <f t="shared" ca="1" si="8"/>
        <v>27.756608961827492</v>
      </c>
      <c r="E33" s="307">
        <f t="shared" ca="1" si="9"/>
        <v>146.35983673621155</v>
      </c>
      <c r="F33" s="304">
        <f t="shared" ca="1" si="10"/>
        <v>148.96855759021869</v>
      </c>
      <c r="G33" s="306">
        <f t="shared" ca="1" si="11"/>
        <v>7.0777520508307683</v>
      </c>
      <c r="H33" s="307">
        <f t="shared" ca="1" si="12"/>
        <v>39.724177417163752</v>
      </c>
      <c r="I33" s="304">
        <f t="shared" ca="1" si="13"/>
        <v>40.349781233153443</v>
      </c>
      <c r="J33" s="306">
        <f t="shared" ca="1" si="14"/>
        <v>0.9674327205965737</v>
      </c>
      <c r="K33" s="307">
        <f t="shared" ca="1" si="15"/>
        <v>5.4787226962524684</v>
      </c>
      <c r="L33" s="304">
        <f t="shared" ca="1" si="0"/>
        <v>5.5634816842794406</v>
      </c>
      <c r="M33" s="306">
        <f t="shared" ca="1" si="16"/>
        <v>1.3944741945152708</v>
      </c>
      <c r="N33" s="304">
        <f t="shared" ca="1" si="17"/>
        <v>79.897485985630027</v>
      </c>
      <c r="P33" s="310">
        <f t="shared" ca="1" si="18"/>
        <v>6</v>
      </c>
      <c r="Q33" s="304">
        <f t="shared" ca="1" si="19"/>
        <v>1319.89</v>
      </c>
      <c r="R33" s="306">
        <f t="shared" ca="1" si="20"/>
        <v>0.64863584902516114</v>
      </c>
      <c r="S33" s="307">
        <f t="shared" ca="1" si="21"/>
        <v>8.2842432643699127</v>
      </c>
      <c r="T33" s="304">
        <f t="shared" ca="1" si="1"/>
        <v>81.268426423468853</v>
      </c>
      <c r="U33" s="311">
        <f t="shared" ca="1" si="2"/>
        <v>0</v>
      </c>
      <c r="V33" s="306">
        <f t="shared" ca="1" si="3"/>
        <v>1.2243290402698244</v>
      </c>
      <c r="W33" s="304">
        <f t="shared" ca="1" si="4"/>
        <v>6.3237787845088178</v>
      </c>
      <c r="Y33" s="314" t="str">
        <f t="shared" ca="1" si="22"/>
        <v/>
      </c>
      <c r="Z33" s="315" t="str">
        <f t="shared" ca="1" si="23"/>
        <v/>
      </c>
      <c r="AA33" s="316" t="str">
        <f t="shared" ca="1" si="24"/>
        <v/>
      </c>
      <c r="AC33" s="310" t="e">
        <f t="shared" ca="1" si="25"/>
        <v>#N/A</v>
      </c>
      <c r="AD33" s="323" t="e">
        <f t="shared" ca="1" si="26"/>
        <v>#N/A</v>
      </c>
      <c r="AE33" s="324">
        <f t="shared" ca="1" si="5"/>
        <v>5.4787226962524684</v>
      </c>
      <c r="AG33" s="306">
        <f t="shared" ca="1" si="27"/>
        <v>148.95866614969822</v>
      </c>
      <c r="AH33" s="304">
        <f t="shared" ca="1" si="28"/>
        <v>158.61729807078032</v>
      </c>
    </row>
    <row r="34" spans="1:34" x14ac:dyDescent="0.2">
      <c r="A34" s="347">
        <f t="shared" ca="1" si="6"/>
        <v>0.01</v>
      </c>
      <c r="B34" s="304">
        <f t="shared" ca="1" si="7"/>
        <v>0.3000000000000001</v>
      </c>
      <c r="D34" s="306">
        <f t="shared" ca="1" si="8"/>
        <v>27.856350481169507</v>
      </c>
      <c r="E34" s="307">
        <f t="shared" ca="1" si="9"/>
        <v>146.53492431516943</v>
      </c>
      <c r="F34" s="304">
        <f t="shared" ca="1" si="10"/>
        <v>149.15917774707054</v>
      </c>
      <c r="G34" s="306">
        <f t="shared" ca="1" si="11"/>
        <v>7.3563155556424631</v>
      </c>
      <c r="H34" s="307">
        <f t="shared" ca="1" si="12"/>
        <v>41.189526660315444</v>
      </c>
      <c r="I34" s="304">
        <f t="shared" ca="1" si="13"/>
        <v>41.841277287566449</v>
      </c>
      <c r="J34" s="306">
        <f t="shared" ca="1" si="14"/>
        <v>1.0396030586289398</v>
      </c>
      <c r="K34" s="307">
        <f t="shared" ca="1" si="15"/>
        <v>5.8832912166398641</v>
      </c>
      <c r="L34" s="304">
        <f t="shared" ca="1" si="0"/>
        <v>5.9744363800531355</v>
      </c>
      <c r="M34" s="306">
        <f t="shared" ca="1" si="16"/>
        <v>1.3940629328348477</v>
      </c>
      <c r="N34" s="304">
        <f t="shared" ca="1" si="17"/>
        <v>79.873922427066333</v>
      </c>
      <c r="P34" s="310">
        <f t="shared" ca="1" si="18"/>
        <v>6</v>
      </c>
      <c r="Q34" s="304">
        <f t="shared" ca="1" si="19"/>
        <v>1320.89</v>
      </c>
      <c r="R34" s="306">
        <f t="shared" ca="1" si="20"/>
        <v>0.6491272807725228</v>
      </c>
      <c r="S34" s="307">
        <f t="shared" ca="1" si="21"/>
        <v>8.2777519915621873</v>
      </c>
      <c r="T34" s="304">
        <f t="shared" ca="1" si="1"/>
        <v>81.204747037225061</v>
      </c>
      <c r="U34" s="311">
        <f t="shared" ca="1" si="2"/>
        <v>0</v>
      </c>
      <c r="V34" s="306">
        <f t="shared" ca="1" si="3"/>
        <v>1.2242795087689482</v>
      </c>
      <c r="W34" s="304">
        <f t="shared" ca="1" si="4"/>
        <v>6.799650610276494</v>
      </c>
      <c r="Y34" s="314" t="str">
        <f t="shared" ca="1" si="22"/>
        <v/>
      </c>
      <c r="Z34" s="315" t="str">
        <f t="shared" ca="1" si="23"/>
        <v/>
      </c>
      <c r="AA34" s="316" t="str">
        <f t="shared" ca="1" si="24"/>
        <v/>
      </c>
      <c r="AC34" s="310" t="e">
        <f t="shared" ca="1" si="25"/>
        <v>#N/A</v>
      </c>
      <c r="AD34" s="323" t="e">
        <f t="shared" ca="1" si="26"/>
        <v>#N/A</v>
      </c>
      <c r="AE34" s="324">
        <f t="shared" ca="1" si="5"/>
        <v>5.8832912166398641</v>
      </c>
      <c r="AG34" s="306">
        <f t="shared" ca="1" si="27"/>
        <v>149.14925159763692</v>
      </c>
      <c r="AH34" s="304">
        <f t="shared" ca="1" si="28"/>
        <v>158.80715229877342</v>
      </c>
    </row>
    <row r="35" spans="1:34" x14ac:dyDescent="0.2">
      <c r="A35" s="347">
        <f t="shared" ca="1" si="6"/>
        <v>0.01</v>
      </c>
      <c r="B35" s="304">
        <f t="shared" ca="1" si="7"/>
        <v>0.31000000000000011</v>
      </c>
      <c r="D35" s="306">
        <f t="shared" ca="1" si="8"/>
        <v>27.953716413488539</v>
      </c>
      <c r="E35" s="307">
        <f t="shared" ca="1" si="9"/>
        <v>146.70861842510735</v>
      </c>
      <c r="F35" s="304">
        <f t="shared" ca="1" si="10"/>
        <v>149.34801298152408</v>
      </c>
      <c r="G35" s="306">
        <f t="shared" ca="1" si="11"/>
        <v>7.6358527197773487</v>
      </c>
      <c r="H35" s="307">
        <f t="shared" ca="1" si="12"/>
        <v>42.656612844566517</v>
      </c>
      <c r="I35" s="304">
        <f t="shared" ca="1" si="13"/>
        <v>43.334661255505026</v>
      </c>
      <c r="J35" s="306">
        <f t="shared" ca="1" si="14"/>
        <v>1.1145639000060388</v>
      </c>
      <c r="K35" s="307">
        <f t="shared" ca="1" si="15"/>
        <v>6.3025219141642737</v>
      </c>
      <c r="L35" s="304">
        <f t="shared" ca="1" si="0"/>
        <v>6.400315239557937</v>
      </c>
      <c r="M35" s="306">
        <f t="shared" ca="1" si="16"/>
        <v>1.3936649273753079</v>
      </c>
      <c r="N35" s="304">
        <f t="shared" ca="1" si="17"/>
        <v>79.851118394011536</v>
      </c>
      <c r="P35" s="310">
        <f t="shared" ca="1" si="18"/>
        <v>6</v>
      </c>
      <c r="Q35" s="304">
        <f t="shared" ca="1" si="19"/>
        <v>1321.89</v>
      </c>
      <c r="R35" s="306">
        <f t="shared" ca="1" si="20"/>
        <v>0.64961871251988446</v>
      </c>
      <c r="S35" s="307">
        <f t="shared" ca="1" si="21"/>
        <v>8.2712558044369882</v>
      </c>
      <c r="T35" s="304">
        <f t="shared" ca="1" si="1"/>
        <v>81.141019441526865</v>
      </c>
      <c r="U35" s="311">
        <f t="shared" ca="1" si="2"/>
        <v>0</v>
      </c>
      <c r="V35" s="306">
        <f t="shared" ca="1" si="3"/>
        <v>1.224228184284788</v>
      </c>
      <c r="W35" s="304">
        <f t="shared" ca="1" si="4"/>
        <v>7.2933882889536488</v>
      </c>
      <c r="Y35" s="314" t="str">
        <f t="shared" ca="1" si="22"/>
        <v/>
      </c>
      <c r="Z35" s="315" t="str">
        <f t="shared" ca="1" si="23"/>
        <v/>
      </c>
      <c r="AA35" s="316" t="str">
        <f t="shared" ca="1" si="24"/>
        <v/>
      </c>
      <c r="AC35" s="310" t="e">
        <f t="shared" ca="1" si="25"/>
        <v>#N/A</v>
      </c>
      <c r="AD35" s="323" t="e">
        <f t="shared" ca="1" si="26"/>
        <v>#N/A</v>
      </c>
      <c r="AE35" s="324">
        <f t="shared" ca="1" si="5"/>
        <v>6.3025219141642737</v>
      </c>
      <c r="AG35" s="306">
        <f t="shared" ca="1" si="27"/>
        <v>149.33805356526176</v>
      </c>
      <c r="AH35" s="304">
        <f t="shared" ca="1" si="28"/>
        <v>158.99524576235007</v>
      </c>
    </row>
    <row r="36" spans="1:34" x14ac:dyDescent="0.2">
      <c r="A36" s="347">
        <f t="shared" ca="1" si="6"/>
        <v>0.01</v>
      </c>
      <c r="B36" s="304">
        <f t="shared" ca="1" si="7"/>
        <v>0.32000000000000012</v>
      </c>
      <c r="D36" s="306">
        <f t="shared" ca="1" si="8"/>
        <v>28.048840645535648</v>
      </c>
      <c r="E36" s="307">
        <f t="shared" ca="1" si="9"/>
        <v>146.88088706446956</v>
      </c>
      <c r="F36" s="304">
        <f t="shared" ca="1" si="10"/>
        <v>149.53505423947962</v>
      </c>
      <c r="G36" s="306">
        <f t="shared" ca="1" si="11"/>
        <v>7.9163411262327052</v>
      </c>
      <c r="H36" s="307">
        <f t="shared" ca="1" si="12"/>
        <v>44.12542171521121</v>
      </c>
      <c r="I36" s="304">
        <f t="shared" ca="1" si="13"/>
        <v>44.829915217097124</v>
      </c>
      <c r="J36" s="306">
        <f t="shared" ca="1" si="14"/>
        <v>1.192324869236089</v>
      </c>
      <c r="K36" s="307">
        <f t="shared" ca="1" si="15"/>
        <v>6.7364320869631626</v>
      </c>
      <c r="L36" s="304">
        <f t="shared" ca="1" si="0"/>
        <v>6.8411370294758553</v>
      </c>
      <c r="M36" s="306">
        <f t="shared" ca="1" si="16"/>
        <v>1.3932793396167462</v>
      </c>
      <c r="N36" s="304">
        <f t="shared" ca="1" si="17"/>
        <v>79.829025842814033</v>
      </c>
      <c r="P36" s="310">
        <f t="shared" ca="1" si="18"/>
        <v>6</v>
      </c>
      <c r="Q36" s="304">
        <f t="shared" ca="1" si="19"/>
        <v>1322.89</v>
      </c>
      <c r="R36" s="306">
        <f t="shared" ca="1" si="20"/>
        <v>0.65011014426724612</v>
      </c>
      <c r="S36" s="307">
        <f t="shared" ca="1" si="21"/>
        <v>8.2647547029943151</v>
      </c>
      <c r="T36" s="304">
        <f t="shared" ca="1" si="1"/>
        <v>81.077243636374234</v>
      </c>
      <c r="U36" s="311">
        <f t="shared" ca="1" si="2"/>
        <v>0</v>
      </c>
      <c r="V36" s="306">
        <f t="shared" ca="1" si="3"/>
        <v>1.2241750649253023</v>
      </c>
      <c r="W36" s="304">
        <f t="shared" ca="1" si="4"/>
        <v>7.8050468416759342</v>
      </c>
      <c r="Y36" s="314" t="str">
        <f t="shared" ca="1" si="22"/>
        <v/>
      </c>
      <c r="Z36" s="315" t="str">
        <f t="shared" ca="1" si="23"/>
        <v/>
      </c>
      <c r="AA36" s="316" t="str">
        <f t="shared" ca="1" si="24"/>
        <v/>
      </c>
      <c r="AC36" s="310" t="e">
        <f t="shared" ca="1" si="25"/>
        <v>#N/A</v>
      </c>
      <c r="AD36" s="323" t="e">
        <f t="shared" ca="1" si="26"/>
        <v>#N/A</v>
      </c>
      <c r="AE36" s="324">
        <f t="shared" ca="1" si="5"/>
        <v>6.7364320869631626</v>
      </c>
      <c r="AG36" s="306">
        <f t="shared" ca="1" si="27"/>
        <v>149.52506289828796</v>
      </c>
      <c r="AH36" s="304">
        <f t="shared" ca="1" si="28"/>
        <v>159.18156787332197</v>
      </c>
    </row>
    <row r="37" spans="1:34" x14ac:dyDescent="0.2">
      <c r="A37" s="347">
        <f t="shared" ca="1" si="6"/>
        <v>0.01</v>
      </c>
      <c r="B37" s="304">
        <f t="shared" ca="1" si="7"/>
        <v>0.33000000000000013</v>
      </c>
      <c r="D37" s="306">
        <f t="shared" ca="1" si="8"/>
        <v>28.141843894099633</v>
      </c>
      <c r="E37" s="307">
        <f t="shared" ca="1" si="9"/>
        <v>147.05170035748989</v>
      </c>
      <c r="F37" s="304">
        <f t="shared" ca="1" si="10"/>
        <v>149.72029239815444</v>
      </c>
      <c r="G37" s="306">
        <f t="shared" ca="1" si="11"/>
        <v>8.1977595651737012</v>
      </c>
      <c r="H37" s="307">
        <f t="shared" ca="1" si="12"/>
        <v>45.595938718786108</v>
      </c>
      <c r="I37" s="304">
        <f t="shared" ca="1" si="13"/>
        <v>46.327021159747524</v>
      </c>
      <c r="J37" s="306">
        <f t="shared" ca="1" si="14"/>
        <v>1.2728953726931211</v>
      </c>
      <c r="K37" s="307">
        <f t="shared" ca="1" si="15"/>
        <v>7.1850388891331489</v>
      </c>
      <c r="L37" s="304">
        <f t="shared" ca="1" si="0"/>
        <v>7.2969203413617771</v>
      </c>
      <c r="M37" s="306">
        <f t="shared" ca="1" si="16"/>
        <v>1.3929054088290131</v>
      </c>
      <c r="N37" s="304">
        <f t="shared" ca="1" si="17"/>
        <v>79.807601186846924</v>
      </c>
      <c r="P37" s="310">
        <f t="shared" ca="1" si="18"/>
        <v>6</v>
      </c>
      <c r="Q37" s="304">
        <f t="shared" ca="1" si="19"/>
        <v>1323.89</v>
      </c>
      <c r="R37" s="306">
        <f t="shared" ca="1" si="20"/>
        <v>0.65060157601460777</v>
      </c>
      <c r="S37" s="307">
        <f t="shared" ca="1" si="21"/>
        <v>8.2582486872341683</v>
      </c>
      <c r="T37" s="304">
        <f t="shared" ca="1" si="1"/>
        <v>81.013419621767198</v>
      </c>
      <c r="U37" s="311">
        <f t="shared" ca="1" si="2"/>
        <v>0</v>
      </c>
      <c r="V37" s="306">
        <f t="shared" ca="1" si="3"/>
        <v>1.224120148824327</v>
      </c>
      <c r="W37" s="304">
        <f t="shared" ca="1" si="4"/>
        <v>8.3346803345684215</v>
      </c>
      <c r="Y37" s="314" t="str">
        <f t="shared" ca="1" si="22"/>
        <v/>
      </c>
      <c r="Z37" s="315" t="str">
        <f t="shared" ca="1" si="23"/>
        <v/>
      </c>
      <c r="AA37" s="316" t="str">
        <f t="shared" ca="1" si="24"/>
        <v/>
      </c>
      <c r="AC37" s="310" t="e">
        <f t="shared" ca="1" si="25"/>
        <v>#N/A</v>
      </c>
      <c r="AD37" s="323" t="e">
        <f t="shared" ca="1" si="26"/>
        <v>#N/A</v>
      </c>
      <c r="AE37" s="324">
        <f t="shared" ca="1" si="5"/>
        <v>7.1850388891331489</v>
      </c>
      <c r="AG37" s="306">
        <f t="shared" ca="1" si="27"/>
        <v>149.71027038303171</v>
      </c>
      <c r="AH37" s="304">
        <f t="shared" ca="1" si="28"/>
        <v>159.3661081183914</v>
      </c>
    </row>
    <row r="38" spans="1:34" x14ac:dyDescent="0.2">
      <c r="A38" s="347">
        <f t="shared" ca="1" si="6"/>
        <v>0.01</v>
      </c>
      <c r="B38" s="304">
        <f t="shared" ca="1" si="7"/>
        <v>0.34000000000000014</v>
      </c>
      <c r="D38" s="306">
        <f t="shared" ca="1" si="8"/>
        <v>28.232835354818715</v>
      </c>
      <c r="E38" s="307">
        <f t="shared" ca="1" si="9"/>
        <v>147.22103030304791</v>
      </c>
      <c r="F38" s="304">
        <f t="shared" ca="1" si="10"/>
        <v>149.90371828498201</v>
      </c>
      <c r="G38" s="306">
        <f t="shared" ca="1" si="11"/>
        <v>8.4800879187218889</v>
      </c>
      <c r="H38" s="307">
        <f t="shared" ca="1" si="12"/>
        <v>47.068149021816588</v>
      </c>
      <c r="I38" s="304">
        <f t="shared" ca="1" si="13"/>
        <v>47.825960977790992</v>
      </c>
      <c r="J38" s="306">
        <f t="shared" ca="1" si="14"/>
        <v>1.3562846101125992</v>
      </c>
      <c r="K38" s="307">
        <f t="shared" ca="1" si="15"/>
        <v>7.6483593278361628</v>
      </c>
      <c r="L38" s="304">
        <f t="shared" ca="1" si="0"/>
        <v>7.7676835898050536</v>
      </c>
      <c r="M38" s="306">
        <f t="shared" ca="1" si="16"/>
        <v>1.3925424426893618</v>
      </c>
      <c r="N38" s="304">
        <f t="shared" ca="1" si="17"/>
        <v>79.786804758938743</v>
      </c>
      <c r="P38" s="310">
        <f t="shared" ca="1" si="18"/>
        <v>6</v>
      </c>
      <c r="Q38" s="304">
        <f t="shared" ca="1" si="19"/>
        <v>1324.89</v>
      </c>
      <c r="R38" s="306">
        <f t="shared" ca="1" si="20"/>
        <v>0.65109300776196943</v>
      </c>
      <c r="S38" s="307">
        <f t="shared" ca="1" si="21"/>
        <v>8.2517377571565493</v>
      </c>
      <c r="T38" s="304">
        <f t="shared" ca="1" si="1"/>
        <v>80.949547397705757</v>
      </c>
      <c r="U38" s="311">
        <f t="shared" ca="1" si="2"/>
        <v>0</v>
      </c>
      <c r="V38" s="306">
        <f t="shared" ca="1" si="3"/>
        <v>1.2240634341419512</v>
      </c>
      <c r="W38" s="304">
        <f t="shared" ca="1" si="4"/>
        <v>8.8823418697211487</v>
      </c>
      <c r="Y38" s="314" t="str">
        <f t="shared" ca="1" si="22"/>
        <v/>
      </c>
      <c r="Z38" s="315" t="str">
        <f t="shared" ca="1" si="23"/>
        <v/>
      </c>
      <c r="AA38" s="316" t="str">
        <f t="shared" ca="1" si="24"/>
        <v/>
      </c>
      <c r="AC38" s="310" t="e">
        <f t="shared" ca="1" si="25"/>
        <v>#N/A</v>
      </c>
      <c r="AD38" s="323" t="e">
        <f t="shared" ca="1" si="26"/>
        <v>#N/A</v>
      </c>
      <c r="AE38" s="324">
        <f t="shared" ca="1" si="5"/>
        <v>7.6483593278361628</v>
      </c>
      <c r="AG38" s="306">
        <f t="shared" ca="1" si="27"/>
        <v>149.89366676417899</v>
      </c>
      <c r="AH38" s="304">
        <f t="shared" ca="1" si="28"/>
        <v>159.54885606048404</v>
      </c>
    </row>
    <row r="39" spans="1:34" x14ac:dyDescent="0.2">
      <c r="A39" s="347">
        <f t="shared" ca="1" si="6"/>
        <v>0.01</v>
      </c>
      <c r="B39" s="304">
        <f t="shared" ca="1" si="7"/>
        <v>0.35000000000000014</v>
      </c>
      <c r="D39" s="306">
        <f t="shared" ca="1" si="8"/>
        <v>28.321914100855786</v>
      </c>
      <c r="E39" s="307">
        <f t="shared" ca="1" si="9"/>
        <v>147.38885056133788</v>
      </c>
      <c r="F39" s="304">
        <f t="shared" ca="1" si="10"/>
        <v>150.08532269388849</v>
      </c>
      <c r="G39" s="306">
        <f t="shared" ca="1" si="11"/>
        <v>8.7633070597304474</v>
      </c>
      <c r="H39" s="307">
        <f t="shared" ca="1" si="12"/>
        <v>48.542037527429969</v>
      </c>
      <c r="I39" s="304">
        <f t="shared" ca="1" si="13"/>
        <v>49.326716472288531</v>
      </c>
      <c r="J39" s="306">
        <f t="shared" ca="1" si="14"/>
        <v>1.4425015850048608</v>
      </c>
      <c r="K39" s="307">
        <f t="shared" ca="1" si="15"/>
        <v>8.1264102605823965</v>
      </c>
      <c r="L39" s="304">
        <f t="shared" ca="1" si="0"/>
        <v>8.2534450107843096</v>
      </c>
      <c r="M39" s="306">
        <f t="shared" ca="1" si="16"/>
        <v>1.3921898092773255</v>
      </c>
      <c r="N39" s="304">
        <f t="shared" ca="1" si="17"/>
        <v>79.766600352713766</v>
      </c>
      <c r="P39" s="310">
        <f t="shared" ca="1" si="18"/>
        <v>6</v>
      </c>
      <c r="Q39" s="304">
        <f t="shared" ca="1" si="19"/>
        <v>1325.89</v>
      </c>
      <c r="R39" s="306">
        <f t="shared" ca="1" si="20"/>
        <v>0.65158443950933109</v>
      </c>
      <c r="S39" s="307">
        <f t="shared" ca="1" si="21"/>
        <v>8.2452219127614566</v>
      </c>
      <c r="T39" s="304">
        <f t="shared" ca="1" si="1"/>
        <v>80.885626964189896</v>
      </c>
      <c r="U39" s="311">
        <f t="shared" ca="1" si="2"/>
        <v>0</v>
      </c>
      <c r="V39" s="306">
        <f t="shared" ca="1" si="3"/>
        <v>1.2240049190648747</v>
      </c>
      <c r="W39" s="304">
        <f t="shared" ca="1" si="4"/>
        <v>9.4480835762250219</v>
      </c>
      <c r="Y39" s="314" t="str">
        <f t="shared" ca="1" si="22"/>
        <v/>
      </c>
      <c r="Z39" s="315" t="str">
        <f t="shared" ca="1" si="23"/>
        <v/>
      </c>
      <c r="AA39" s="316" t="str">
        <f t="shared" ca="1" si="24"/>
        <v/>
      </c>
      <c r="AC39" s="310" t="e">
        <f t="shared" ca="1" si="25"/>
        <v>#N/A</v>
      </c>
      <c r="AD39" s="323" t="e">
        <f t="shared" ca="1" si="26"/>
        <v>#N/A</v>
      </c>
      <c r="AE39" s="324">
        <f t="shared" ca="1" si="5"/>
        <v>8.1264102605823965</v>
      </c>
      <c r="AG39" s="306">
        <f t="shared" ca="1" si="27"/>
        <v>150.0752427601</v>
      </c>
      <c r="AH39" s="304">
        <f t="shared" ca="1" si="28"/>
        <v>159.72980134008208</v>
      </c>
    </row>
    <row r="40" spans="1:34" x14ac:dyDescent="0.2">
      <c r="A40" s="347">
        <f t="shared" ca="1" si="6"/>
        <v>0.01</v>
      </c>
      <c r="B40" s="304">
        <f t="shared" ca="1" si="7"/>
        <v>0.36000000000000015</v>
      </c>
      <c r="D40" s="306">
        <f t="shared" ca="1" si="8"/>
        <v>28.409170275686154</v>
      </c>
      <c r="E40" s="307">
        <f t="shared" ca="1" si="9"/>
        <v>147.55513627173104</v>
      </c>
      <c r="F40" s="304">
        <f t="shared" ca="1" si="10"/>
        <v>150.26509639940357</v>
      </c>
      <c r="G40" s="306">
        <f t="shared" ca="1" si="11"/>
        <v>9.0473987624873082</v>
      </c>
      <c r="H40" s="307">
        <f t="shared" ca="1" si="12"/>
        <v>50.01758889014728</v>
      </c>
      <c r="I40" s="304">
        <f t="shared" ca="1" si="13"/>
        <v>50.829269350948195</v>
      </c>
      <c r="J40" s="306">
        <f t="shared" ca="1" si="14"/>
        <v>1.5315551141159496</v>
      </c>
      <c r="K40" s="307">
        <f t="shared" ca="1" si="15"/>
        <v>8.6192083926702825</v>
      </c>
      <c r="L40" s="304">
        <f t="shared" ca="1" si="0"/>
        <v>8.7542226601710649</v>
      </c>
      <c r="M40" s="306">
        <f t="shared" ca="1" si="16"/>
        <v>1.3918469302107002</v>
      </c>
      <c r="N40" s="304">
        <f t="shared" ca="1" si="17"/>
        <v>79.746954829312756</v>
      </c>
      <c r="P40" s="310">
        <f t="shared" ca="1" si="18"/>
        <v>6</v>
      </c>
      <c r="Q40" s="304">
        <f t="shared" ca="1" si="19"/>
        <v>1326.89</v>
      </c>
      <c r="R40" s="306">
        <f t="shared" ca="1" si="20"/>
        <v>0.65207587125669264</v>
      </c>
      <c r="S40" s="307">
        <f t="shared" ca="1" si="21"/>
        <v>8.2387011540488899</v>
      </c>
      <c r="T40" s="304">
        <f t="shared" ca="1" si="1"/>
        <v>80.821658321219616</v>
      </c>
      <c r="U40" s="311">
        <f t="shared" ca="1" si="2"/>
        <v>0</v>
      </c>
      <c r="V40" s="306">
        <f t="shared" ca="1" si="3"/>
        <v>1.2239446018067464</v>
      </c>
      <c r="W40" s="304">
        <f t="shared" ca="1" si="4"/>
        <v>10.031956601273116</v>
      </c>
      <c r="Y40" s="314" t="str">
        <f t="shared" ca="1" si="22"/>
        <v/>
      </c>
      <c r="Z40" s="315" t="str">
        <f t="shared" ca="1" si="23"/>
        <v/>
      </c>
      <c r="AA40" s="316" t="str">
        <f t="shared" ca="1" si="24"/>
        <v/>
      </c>
      <c r="AC40" s="310" t="e">
        <f t="shared" ca="1" si="25"/>
        <v>#N/A</v>
      </c>
      <c r="AD40" s="323" t="e">
        <f t="shared" ca="1" si="26"/>
        <v>#N/A</v>
      </c>
      <c r="AE40" s="324">
        <f t="shared" ca="1" si="5"/>
        <v>8.6192083926702825</v>
      </c>
      <c r="AG40" s="306">
        <f t="shared" ca="1" si="27"/>
        <v>150.25498907613689</v>
      </c>
      <c r="AH40" s="304">
        <f t="shared" ca="1" si="28"/>
        <v>159.9089336765567</v>
      </c>
    </row>
    <row r="41" spans="1:34" x14ac:dyDescent="0.2">
      <c r="A41" s="347">
        <f t="shared" ca="1" si="6"/>
        <v>0.01</v>
      </c>
      <c r="B41" s="304">
        <f t="shared" ca="1" si="7"/>
        <v>0.37000000000000016</v>
      </c>
      <c r="D41" s="306">
        <f t="shared" ca="1" si="8"/>
        <v>28.494686115367884</v>
      </c>
      <c r="E41" s="307">
        <f t="shared" ca="1" si="9"/>
        <v>147.71986389652986</v>
      </c>
      <c r="F41" s="304">
        <f t="shared" ca="1" si="10"/>
        <v>150.44303016897339</v>
      </c>
      <c r="G41" s="306">
        <f t="shared" ca="1" si="11"/>
        <v>9.3323456236409879</v>
      </c>
      <c r="H41" s="307">
        <f t="shared" ca="1" si="12"/>
        <v>51.494787529112578</v>
      </c>
      <c r="I41" s="304">
        <f t="shared" ca="1" si="13"/>
        <v>52.333601228154933</v>
      </c>
      <c r="J41" s="306">
        <f t="shared" ca="1" si="14"/>
        <v>1.6234538360465911</v>
      </c>
      <c r="K41" s="307">
        <f t="shared" ca="1" si="15"/>
        <v>9.1267702747665815</v>
      </c>
      <c r="L41" s="304">
        <f t="shared" ca="1" si="0"/>
        <v>9.2700344123491387</v>
      </c>
      <c r="M41" s="306">
        <f t="shared" ca="1" si="16"/>
        <v>1.3915132747324794</v>
      </c>
      <c r="N41" s="304">
        <f t="shared" ca="1" si="17"/>
        <v>79.727837778599294</v>
      </c>
      <c r="P41" s="310">
        <f t="shared" ca="1" si="18"/>
        <v>6</v>
      </c>
      <c r="Q41" s="304">
        <f t="shared" ca="1" si="19"/>
        <v>1327.89</v>
      </c>
      <c r="R41" s="306">
        <f t="shared" ca="1" si="20"/>
        <v>0.6525673030040543</v>
      </c>
      <c r="S41" s="307">
        <f t="shared" ca="1" si="21"/>
        <v>8.2321754810188494</v>
      </c>
      <c r="T41" s="304">
        <f t="shared" ca="1" si="1"/>
        <v>80.757641468794915</v>
      </c>
      <c r="U41" s="311">
        <f t="shared" ca="1" si="2"/>
        <v>0</v>
      </c>
      <c r="V41" s="306">
        <f t="shared" ca="1" si="3"/>
        <v>1.2238824806084792</v>
      </c>
      <c r="W41" s="304">
        <f t="shared" ca="1" si="4"/>
        <v>10.634011101332037</v>
      </c>
      <c r="Y41" s="314" t="str">
        <f t="shared" ca="1" si="22"/>
        <v/>
      </c>
      <c r="Z41" s="315" t="str">
        <f t="shared" ca="1" si="23"/>
        <v/>
      </c>
      <c r="AA41" s="316" t="str">
        <f t="shared" ca="1" si="24"/>
        <v/>
      </c>
      <c r="AC41" s="310" t="e">
        <f t="shared" ca="1" si="25"/>
        <v>#N/A</v>
      </c>
      <c r="AD41" s="323" t="e">
        <f t="shared" ca="1" si="26"/>
        <v>#N/A</v>
      </c>
      <c r="AE41" s="324">
        <f t="shared" ca="1" si="5"/>
        <v>9.1267702747665815</v>
      </c>
      <c r="AG41" s="306">
        <f t="shared" ca="1" si="27"/>
        <v>150.43289641620913</v>
      </c>
      <c r="AH41" s="304">
        <f t="shared" ca="1" si="28"/>
        <v>160.08624286950007</v>
      </c>
    </row>
    <row r="42" spans="1:34" x14ac:dyDescent="0.2">
      <c r="A42" s="347">
        <f t="shared" ca="1" si="6"/>
        <v>0.01</v>
      </c>
      <c r="B42" s="304">
        <f t="shared" ca="1" si="7"/>
        <v>0.38000000000000017</v>
      </c>
      <c r="D42" s="306">
        <f t="shared" ca="1" si="8"/>
        <v>28.578536828767927</v>
      </c>
      <c r="E42" s="307">
        <f t="shared" ca="1" si="9"/>
        <v>147.88301108633451</v>
      </c>
      <c r="F42" s="304">
        <f t="shared" ca="1" si="10"/>
        <v>150.61911477377026</v>
      </c>
      <c r="G42" s="306">
        <f t="shared" ca="1" si="11"/>
        <v>9.6181309919286679</v>
      </c>
      <c r="H42" s="307">
        <f t="shared" ca="1" si="12"/>
        <v>52.97361763997592</v>
      </c>
      <c r="I42" s="304">
        <f t="shared" ca="1" si="13"/>
        <v>53.839693625096594</v>
      </c>
      <c r="J42" s="306">
        <f t="shared" ca="1" si="14"/>
        <v>1.7182062191244394</v>
      </c>
      <c r="K42" s="307">
        <f t="shared" ca="1" si="15"/>
        <v>9.6491123006120247</v>
      </c>
      <c r="L42" s="304">
        <f t="shared" ca="1" si="0"/>
        <v>9.8008979589249989</v>
      </c>
      <c r="M42" s="306">
        <f t="shared" ca="1" si="16"/>
        <v>1.3911883545946131</v>
      </c>
      <c r="N42" s="304">
        <f t="shared" ca="1" si="17"/>
        <v>79.709221226020745</v>
      </c>
      <c r="P42" s="310">
        <f t="shared" ca="1" si="18"/>
        <v>6</v>
      </c>
      <c r="Q42" s="304">
        <f t="shared" ca="1" si="19"/>
        <v>1328.89</v>
      </c>
      <c r="R42" s="306">
        <f t="shared" ca="1" si="20"/>
        <v>0.65305873475141596</v>
      </c>
      <c r="S42" s="307">
        <f t="shared" ca="1" si="21"/>
        <v>8.2256448936713351</v>
      </c>
      <c r="T42" s="304">
        <f t="shared" ca="1" si="1"/>
        <v>80.693576406915795</v>
      </c>
      <c r="U42" s="311">
        <f t="shared" ca="1" si="2"/>
        <v>0</v>
      </c>
      <c r="V42" s="306">
        <f t="shared" ca="1" si="3"/>
        <v>1.2238185537385577</v>
      </c>
      <c r="W42" s="304">
        <f t="shared" ca="1" si="4"/>
        <v>11.254296233387739</v>
      </c>
      <c r="Y42" s="314" t="str">
        <f t="shared" ca="1" si="22"/>
        <v/>
      </c>
      <c r="Z42" s="315" t="str">
        <f t="shared" ca="1" si="23"/>
        <v/>
      </c>
      <c r="AA42" s="316" t="str">
        <f t="shared" ca="1" si="24"/>
        <v/>
      </c>
      <c r="AC42" s="310" t="e">
        <f t="shared" ca="1" si="25"/>
        <v>#N/A</v>
      </c>
      <c r="AD42" s="323" t="e">
        <f t="shared" ca="1" si="26"/>
        <v>#N/A</v>
      </c>
      <c r="AE42" s="324">
        <f t="shared" ca="1" si="5"/>
        <v>9.6491123006120247</v>
      </c>
      <c r="AG42" s="306">
        <f t="shared" ca="1" si="27"/>
        <v>150.60895549301173</v>
      </c>
      <c r="AH42" s="304">
        <f t="shared" ca="1" si="28"/>
        <v>160.26171880005549</v>
      </c>
    </row>
    <row r="43" spans="1:34" x14ac:dyDescent="0.2">
      <c r="A43" s="347">
        <f t="shared" ca="1" si="6"/>
        <v>0.01</v>
      </c>
      <c r="B43" s="304">
        <f t="shared" ca="1" si="7"/>
        <v>0.39000000000000018</v>
      </c>
      <c r="D43" s="306">
        <f t="shared" ca="1" si="8"/>
        <v>28.6607913588157</v>
      </c>
      <c r="E43" s="307">
        <f t="shared" ca="1" si="9"/>
        <v>148.04455656354909</v>
      </c>
      <c r="F43" s="304">
        <f t="shared" ca="1" si="10"/>
        <v>150.79334099823987</v>
      </c>
      <c r="G43" s="306">
        <f t="shared" ca="1" si="11"/>
        <v>9.9047389055168242</v>
      </c>
      <c r="H43" s="307">
        <f t="shared" ca="1" si="12"/>
        <v>54.454063205611412</v>
      </c>
      <c r="I43" s="304">
        <f t="shared" ca="1" si="13"/>
        <v>55.347527969975147</v>
      </c>
      <c r="J43" s="306">
        <f t="shared" ca="1" si="14"/>
        <v>1.8158205686116669</v>
      </c>
      <c r="K43" s="307">
        <f t="shared" ca="1" si="15"/>
        <v>10.186250704839962</v>
      </c>
      <c r="L43" s="304">
        <f t="shared" ca="1" si="0"/>
        <v>10.346830807510376</v>
      </c>
      <c r="M43" s="306">
        <f t="shared" ca="1" si="16"/>
        <v>1.3908717196128713</v>
      </c>
      <c r="N43" s="304">
        <f t="shared" ca="1" si="17"/>
        <v>79.69107937792073</v>
      </c>
      <c r="P43" s="310">
        <f t="shared" ca="1" si="18"/>
        <v>6</v>
      </c>
      <c r="Q43" s="304">
        <f t="shared" ca="1" si="19"/>
        <v>1329.89</v>
      </c>
      <c r="R43" s="306">
        <f t="shared" ca="1" si="20"/>
        <v>0.65355016649877762</v>
      </c>
      <c r="S43" s="307">
        <f t="shared" ca="1" si="21"/>
        <v>8.2191093920063469</v>
      </c>
      <c r="T43" s="304">
        <f t="shared" ca="1" si="1"/>
        <v>80.62946313558227</v>
      </c>
      <c r="U43" s="311">
        <f t="shared" ca="1" si="2"/>
        <v>0</v>
      </c>
      <c r="V43" s="306">
        <f t="shared" ca="1" si="3"/>
        <v>1.2237528194933232</v>
      </c>
      <c r="W43" s="304">
        <f t="shared" ca="1" si="4"/>
        <v>11.892860146269774</v>
      </c>
      <c r="Y43" s="314" t="str">
        <f t="shared" ca="1" si="22"/>
        <v/>
      </c>
      <c r="Z43" s="315" t="str">
        <f t="shared" ca="1" si="23"/>
        <v/>
      </c>
      <c r="AA43" s="316" t="str">
        <f t="shared" ca="1" si="24"/>
        <v/>
      </c>
      <c r="AC43" s="310" t="e">
        <f t="shared" ca="1" si="25"/>
        <v>#N/A</v>
      </c>
      <c r="AD43" s="323" t="e">
        <f t="shared" ca="1" si="26"/>
        <v>#N/A</v>
      </c>
      <c r="AE43" s="324">
        <f t="shared" ca="1" si="5"/>
        <v>10.186250704839962</v>
      </c>
      <c r="AG43" s="306">
        <f t="shared" ca="1" si="27"/>
        <v>150.78315703703262</v>
      </c>
      <c r="AH43" s="304">
        <f t="shared" ca="1" si="28"/>
        <v>160.43535143224602</v>
      </c>
    </row>
    <row r="44" spans="1:34" x14ac:dyDescent="0.2">
      <c r="A44" s="347">
        <f t="shared" ca="1" si="6"/>
        <v>0.01</v>
      </c>
      <c r="B44" s="304">
        <f t="shared" ca="1" si="7"/>
        <v>0.40000000000000019</v>
      </c>
      <c r="D44" s="306">
        <f t="shared" ca="1" si="8"/>
        <v>28.741513043595855</v>
      </c>
      <c r="E44" s="307">
        <f t="shared" ca="1" si="9"/>
        <v>148.20448002118823</v>
      </c>
      <c r="F44" s="304">
        <f t="shared" ca="1" si="10"/>
        <v>150.96569964858233</v>
      </c>
      <c r="G44" s="306">
        <f t="shared" ca="1" si="11"/>
        <v>10.192154035952782</v>
      </c>
      <c r="H44" s="307">
        <f t="shared" ca="1" si="12"/>
        <v>55.936108005823293</v>
      </c>
      <c r="I44" s="304">
        <f t="shared" ca="1" si="13"/>
        <v>56.857085598293878</v>
      </c>
      <c r="J44" s="306">
        <f t="shared" ca="1" si="14"/>
        <v>1.9163050333190148</v>
      </c>
      <c r="K44" s="307">
        <f t="shared" ca="1" si="15"/>
        <v>10.738201560897135</v>
      </c>
      <c r="L44" s="304">
        <f t="shared" ca="1" si="0"/>
        <v>10.907850280562961</v>
      </c>
      <c r="M44" s="306">
        <f t="shared" ca="1" si="16"/>
        <v>1.3905629537896751</v>
      </c>
      <c r="N44" s="304">
        <f t="shared" ca="1" si="17"/>
        <v>79.673388399393701</v>
      </c>
      <c r="P44" s="310">
        <f t="shared" ca="1" si="18"/>
        <v>6</v>
      </c>
      <c r="Q44" s="304">
        <f t="shared" ca="1" si="19"/>
        <v>1330.89</v>
      </c>
      <c r="R44" s="306">
        <f t="shared" ca="1" si="20"/>
        <v>0.65404159824613928</v>
      </c>
      <c r="S44" s="307">
        <f t="shared" ca="1" si="21"/>
        <v>8.2125689760238849</v>
      </c>
      <c r="T44" s="304">
        <f t="shared" ca="1" si="1"/>
        <v>80.565301654794311</v>
      </c>
      <c r="U44" s="311">
        <f t="shared" ca="1" si="2"/>
        <v>0</v>
      </c>
      <c r="V44" s="306">
        <f t="shared" ca="1" si="3"/>
        <v>1.2236852761972499</v>
      </c>
      <c r="W44" s="304">
        <f t="shared" ca="1" si="4"/>
        <v>12.549749972057791</v>
      </c>
      <c r="Y44" s="314" t="str">
        <f t="shared" ca="1" si="22"/>
        <v/>
      </c>
      <c r="Z44" s="315" t="str">
        <f t="shared" ca="1" si="23"/>
        <v/>
      </c>
      <c r="AA44" s="316" t="str">
        <f t="shared" ca="1" si="24"/>
        <v/>
      </c>
      <c r="AC44" s="310" t="e">
        <f t="shared" ca="1" si="25"/>
        <v>#N/A</v>
      </c>
      <c r="AD44" s="323" t="e">
        <f t="shared" ca="1" si="26"/>
        <v>#N/A</v>
      </c>
      <c r="AE44" s="324">
        <f t="shared" ca="1" si="5"/>
        <v>10.738201560897135</v>
      </c>
      <c r="AG44" s="306">
        <f t="shared" ca="1" si="27"/>
        <v>150.95549180457161</v>
      </c>
      <c r="AH44" s="304">
        <f t="shared" ca="1" si="28"/>
        <v>160.60713081430004</v>
      </c>
    </row>
    <row r="45" spans="1:34" x14ac:dyDescent="0.2">
      <c r="A45" s="347">
        <f t="shared" ca="1" si="6"/>
        <v>0.01</v>
      </c>
      <c r="B45" s="304">
        <f t="shared" ca="1" si="7"/>
        <v>0.4100000000000002</v>
      </c>
      <c r="D45" s="306">
        <f t="shared" ca="1" si="8"/>
        <v>28.802365988260021</v>
      </c>
      <c r="E45" s="307">
        <f t="shared" ca="1" si="9"/>
        <v>148.26181181322835</v>
      </c>
      <c r="F45" s="304">
        <f t="shared" ca="1" si="10"/>
        <v>151.03357616325854</v>
      </c>
      <c r="G45" s="306">
        <f t="shared" ca="1" si="11"/>
        <v>10.480177695835383</v>
      </c>
      <c r="H45" s="307">
        <f t="shared" ca="1" si="12"/>
        <v>57.41872612395558</v>
      </c>
      <c r="I45" s="304">
        <f t="shared" ca="1" si="13"/>
        <v>58.367321629779312</v>
      </c>
      <c r="J45" s="306">
        <f t="shared" ca="1" si="14"/>
        <v>2.0196666919779558</v>
      </c>
      <c r="K45" s="307">
        <f t="shared" ca="1" si="15"/>
        <v>11.30497573154603</v>
      </c>
      <c r="L45" s="304">
        <f t="shared" ca="1" si="0"/>
        <v>11.483968383687317</v>
      </c>
      <c r="M45" s="306">
        <f t="shared" ca="1" si="16"/>
        <v>1.3902616666231462</v>
      </c>
      <c r="N45" s="304">
        <f t="shared" ca="1" si="17"/>
        <v>79.65612591633014</v>
      </c>
      <c r="P45" s="310">
        <f t="shared" ca="1" si="18"/>
        <v>7</v>
      </c>
      <c r="Q45" s="304">
        <f t="shared" ca="1" si="19"/>
        <v>1331.0486250000001</v>
      </c>
      <c r="R45" s="306">
        <f t="shared" ca="1" si="20"/>
        <v>0.65411955160706448</v>
      </c>
      <c r="S45" s="307">
        <f t="shared" ca="1" si="21"/>
        <v>8.2060277805078137</v>
      </c>
      <c r="T45" s="304">
        <f t="shared" ca="1" si="1"/>
        <v>80.50113252678166</v>
      </c>
      <c r="U45" s="311">
        <f t="shared" ca="1" si="2"/>
        <v>0</v>
      </c>
      <c r="V45" s="306">
        <f t="shared" ca="1" si="3"/>
        <v>1.2236159228208319</v>
      </c>
      <c r="W45" s="304">
        <f t="shared" ca="1" si="4"/>
        <v>13.224546833349963</v>
      </c>
      <c r="Y45" s="314" t="str">
        <f t="shared" ca="1" si="22"/>
        <v/>
      </c>
      <c r="Z45" s="315" t="str">
        <f t="shared" ca="1" si="23"/>
        <v/>
      </c>
      <c r="AA45" s="316" t="str">
        <f t="shared" ca="1" si="24"/>
        <v/>
      </c>
      <c r="AC45" s="310" t="e">
        <f t="shared" ca="1" si="25"/>
        <v>#N/A</v>
      </c>
      <c r="AD45" s="323" t="e">
        <f t="shared" ca="1" si="26"/>
        <v>#N/A</v>
      </c>
      <c r="AE45" s="324">
        <f t="shared" ca="1" si="5"/>
        <v>11.30497573154603</v>
      </c>
      <c r="AG45" s="306">
        <f t="shared" ca="1" si="27"/>
        <v>151.02333823690898</v>
      </c>
      <c r="AH45" s="304">
        <f t="shared" ca="1" si="28"/>
        <v>160.67443473197085</v>
      </c>
    </row>
    <row r="46" spans="1:34" x14ac:dyDescent="0.2">
      <c r="A46" s="347">
        <f t="shared" ca="1" si="6"/>
        <v>0.01</v>
      </c>
      <c r="B46" s="304">
        <f t="shared" ca="1" si="7"/>
        <v>0.42000000000000021</v>
      </c>
      <c r="D46" s="306">
        <f t="shared" ca="1" si="8"/>
        <v>28.843265065895711</v>
      </c>
      <c r="E46" s="307">
        <f t="shared" ca="1" si="9"/>
        <v>148.21628403881368</v>
      </c>
      <c r="F46" s="304">
        <f t="shared" ca="1" si="10"/>
        <v>150.99669133439917</v>
      </c>
      <c r="G46" s="306">
        <f t="shared" ca="1" si="11"/>
        <v>10.76861034649434</v>
      </c>
      <c r="H46" s="307">
        <f t="shared" ca="1" si="12"/>
        <v>58.900888964343714</v>
      </c>
      <c r="I46" s="304">
        <f t="shared" ca="1" si="13"/>
        <v>59.877188390776766</v>
      </c>
      <c r="J46" s="306">
        <f t="shared" ca="1" si="14"/>
        <v>2.1259106321896044</v>
      </c>
      <c r="K46" s="307">
        <f t="shared" ca="1" si="15"/>
        <v>11.886573806987526</v>
      </c>
      <c r="L46" s="304">
        <f t="shared" ca="1" si="0"/>
        <v>12.0751866604628</v>
      </c>
      <c r="M46" s="306">
        <f t="shared" ca="1" si="16"/>
        <v>1.3899674911261046</v>
      </c>
      <c r="N46" s="304">
        <f t="shared" ca="1" si="17"/>
        <v>79.639270901913505</v>
      </c>
      <c r="P46" s="310">
        <f t="shared" ca="1" si="18"/>
        <v>7</v>
      </c>
      <c r="Q46" s="304">
        <f t="shared" ca="1" si="19"/>
        <v>1330.3658750000002</v>
      </c>
      <c r="R46" s="306">
        <f t="shared" ca="1" si="20"/>
        <v>0.65378402658155343</v>
      </c>
      <c r="S46" s="307">
        <f t="shared" ca="1" si="21"/>
        <v>8.1994899402419978</v>
      </c>
      <c r="T46" s="304">
        <f t="shared" ca="1" si="1"/>
        <v>80.436996313774003</v>
      </c>
      <c r="U46" s="311">
        <f t="shared" ca="1" si="2"/>
        <v>0</v>
      </c>
      <c r="V46" s="306">
        <f t="shared" ca="1" si="3"/>
        <v>1.2235447595997653</v>
      </c>
      <c r="W46" s="304">
        <f t="shared" ca="1" si="4"/>
        <v>13.91678152683974</v>
      </c>
      <c r="Y46" s="314" t="str">
        <f t="shared" ca="1" si="22"/>
        <v/>
      </c>
      <c r="Z46" s="315" t="str">
        <f t="shared" ca="1" si="23"/>
        <v/>
      </c>
      <c r="AA46" s="316" t="str">
        <f t="shared" ca="1" si="24"/>
        <v/>
      </c>
      <c r="AC46" s="310" t="e">
        <f t="shared" ca="1" si="25"/>
        <v>#N/A</v>
      </c>
      <c r="AD46" s="323" t="e">
        <f t="shared" ca="1" si="26"/>
        <v>#N/A</v>
      </c>
      <c r="AE46" s="324">
        <f t="shared" ca="1" si="5"/>
        <v>11.886573806987526</v>
      </c>
      <c r="AG46" s="306">
        <f t="shared" ca="1" si="27"/>
        <v>150.98641701347913</v>
      </c>
      <c r="AH46" s="304">
        <f t="shared" ca="1" si="28"/>
        <v>160.63698324725019</v>
      </c>
    </row>
    <row r="47" spans="1:34" x14ac:dyDescent="0.2">
      <c r="A47" s="347">
        <f t="shared" ca="1" si="6"/>
        <v>0.01</v>
      </c>
      <c r="B47" s="304">
        <f t="shared" ca="1" si="7"/>
        <v>0.43000000000000022</v>
      </c>
      <c r="D47" s="306">
        <f t="shared" ca="1" si="8"/>
        <v>28.882610458390122</v>
      </c>
      <c r="E47" s="307">
        <f t="shared" ca="1" si="9"/>
        <v>148.16873419794132</v>
      </c>
      <c r="F47" s="304">
        <f t="shared" ca="1" si="10"/>
        <v>150.95754032412987</v>
      </c>
      <c r="G47" s="306">
        <f t="shared" ca="1" si="11"/>
        <v>11.057436451078241</v>
      </c>
      <c r="H47" s="307">
        <f t="shared" ca="1" si="12"/>
        <v>60.382576306323131</v>
      </c>
      <c r="I47" s="304">
        <f t="shared" ca="1" si="13"/>
        <v>61.386663227924103</v>
      </c>
      <c r="J47" s="306">
        <f t="shared" ca="1" si="14"/>
        <v>2.2350408661774672</v>
      </c>
      <c r="K47" s="307">
        <f t="shared" ca="1" si="15"/>
        <v>12.48299113334086</v>
      </c>
      <c r="L47" s="304">
        <f t="shared" ca="1" si="0"/>
        <v>12.681501303416322</v>
      </c>
      <c r="M47" s="306">
        <f t="shared" ca="1" si="16"/>
        <v>1.3896800868340966</v>
      </c>
      <c r="N47" s="304">
        <f t="shared" ca="1" si="17"/>
        <v>79.622803848967493</v>
      </c>
      <c r="P47" s="310">
        <f t="shared" ca="1" si="18"/>
        <v>7</v>
      </c>
      <c r="Q47" s="304">
        <f t="shared" ca="1" si="19"/>
        <v>1329.683125</v>
      </c>
      <c r="R47" s="306">
        <f t="shared" ca="1" si="20"/>
        <v>0.65344850155604217</v>
      </c>
      <c r="S47" s="307">
        <f t="shared" ca="1" si="21"/>
        <v>8.1929554552264374</v>
      </c>
      <c r="T47" s="304">
        <f t="shared" ca="1" si="1"/>
        <v>80.372893015771353</v>
      </c>
      <c r="U47" s="311">
        <f t="shared" ca="1" si="2"/>
        <v>0</v>
      </c>
      <c r="V47" s="306">
        <f t="shared" ca="1" si="3"/>
        <v>1.2234717874193708</v>
      </c>
      <c r="W47" s="304">
        <f t="shared" ca="1" si="4"/>
        <v>14.626424148709363</v>
      </c>
      <c r="Y47" s="314" t="str">
        <f t="shared" ca="1" si="22"/>
        <v/>
      </c>
      <c r="Z47" s="315" t="str">
        <f t="shared" ca="1" si="23"/>
        <v/>
      </c>
      <c r="AA47" s="316" t="str">
        <f t="shared" ca="1" si="24"/>
        <v/>
      </c>
      <c r="AC47" s="310" t="e">
        <f t="shared" ca="1" si="25"/>
        <v>#N/A</v>
      </c>
      <c r="AD47" s="323" t="e">
        <f t="shared" ca="1" si="26"/>
        <v>#N/A</v>
      </c>
      <c r="AE47" s="324">
        <f t="shared" ca="1" si="5"/>
        <v>12.48299113334086</v>
      </c>
      <c r="AG47" s="306">
        <f t="shared" ca="1" si="27"/>
        <v>150.94723018404963</v>
      </c>
      <c r="AH47" s="304">
        <f t="shared" ca="1" si="28"/>
        <v>160.59727782772316</v>
      </c>
    </row>
    <row r="48" spans="1:34" x14ac:dyDescent="0.2">
      <c r="A48" s="347">
        <f t="shared" ca="1" si="6"/>
        <v>0.01</v>
      </c>
      <c r="B48" s="304">
        <f t="shared" ca="1" si="7"/>
        <v>0.44000000000000022</v>
      </c>
      <c r="D48" s="306">
        <f t="shared" ca="1" si="8"/>
        <v>28.92045468509615</v>
      </c>
      <c r="E48" s="307">
        <f t="shared" ca="1" si="9"/>
        <v>148.11915198405615</v>
      </c>
      <c r="F48" s="304">
        <f t="shared" ca="1" si="10"/>
        <v>150.91612201374849</v>
      </c>
      <c r="G48" s="306">
        <f t="shared" ca="1" si="11"/>
        <v>11.346640997929201</v>
      </c>
      <c r="H48" s="307">
        <f t="shared" ca="1" si="12"/>
        <v>61.863767826163695</v>
      </c>
      <c r="I48" s="304">
        <f t="shared" ca="1" si="13"/>
        <v>62.895723476126534</v>
      </c>
      <c r="J48" s="306">
        <f t="shared" ca="1" si="14"/>
        <v>2.3470612534225044</v>
      </c>
      <c r="K48" s="307">
        <f t="shared" ca="1" si="15"/>
        <v>13.094222854003295</v>
      </c>
      <c r="L48" s="304">
        <f t="shared" ca="1" si="0"/>
        <v>13.302908278929815</v>
      </c>
      <c r="M48" s="306">
        <f t="shared" ca="1" si="16"/>
        <v>1.3893991372970094</v>
      </c>
      <c r="N48" s="304">
        <f t="shared" ca="1" si="17"/>
        <v>79.606706626236246</v>
      </c>
      <c r="P48" s="310">
        <f t="shared" ca="1" si="18"/>
        <v>7</v>
      </c>
      <c r="Q48" s="304">
        <f t="shared" ca="1" si="19"/>
        <v>1329.0003750000001</v>
      </c>
      <c r="R48" s="306">
        <f t="shared" ca="1" si="20"/>
        <v>0.65311297653053102</v>
      </c>
      <c r="S48" s="307">
        <f t="shared" ca="1" si="21"/>
        <v>8.1864243254611324</v>
      </c>
      <c r="T48" s="304">
        <f t="shared" ca="1" si="1"/>
        <v>80.308822632773712</v>
      </c>
      <c r="U48" s="311">
        <f t="shared" ca="1" si="2"/>
        <v>0</v>
      </c>
      <c r="V48" s="306">
        <f t="shared" ca="1" si="3"/>
        <v>1.2233970071976339</v>
      </c>
      <c r="W48" s="304">
        <f t="shared" ca="1" si="4"/>
        <v>15.353443583837569</v>
      </c>
      <c r="Y48" s="314" t="str">
        <f t="shared" ca="1" si="22"/>
        <v/>
      </c>
      <c r="Z48" s="315" t="str">
        <f t="shared" ca="1" si="23"/>
        <v/>
      </c>
      <c r="AA48" s="316" t="str">
        <f t="shared" ca="1" si="24"/>
        <v/>
      </c>
      <c r="AC48" s="310" t="e">
        <f t="shared" ca="1" si="25"/>
        <v>#N/A</v>
      </c>
      <c r="AD48" s="323" t="e">
        <f t="shared" ca="1" si="26"/>
        <v>#N/A</v>
      </c>
      <c r="AE48" s="324">
        <f t="shared" ca="1" si="5"/>
        <v>13.094222854003295</v>
      </c>
      <c r="AG48" s="306">
        <f t="shared" ca="1" si="27"/>
        <v>150.90577659396178</v>
      </c>
      <c r="AH48" s="304">
        <f t="shared" ca="1" si="28"/>
        <v>160.55531677772558</v>
      </c>
    </row>
    <row r="49" spans="1:34" x14ac:dyDescent="0.2">
      <c r="A49" s="347">
        <f t="shared" ca="1" si="6"/>
        <v>0.01</v>
      </c>
      <c r="B49" s="304">
        <f t="shared" ca="1" si="7"/>
        <v>0.45000000000000023</v>
      </c>
      <c r="D49" s="306">
        <f t="shared" ca="1" si="8"/>
        <v>28.956846519449527</v>
      </c>
      <c r="E49" s="307">
        <f t="shared" ca="1" si="9"/>
        <v>148.06752784141275</v>
      </c>
      <c r="F49" s="304">
        <f t="shared" ca="1" si="10"/>
        <v>150.87243539301173</v>
      </c>
      <c r="G49" s="306">
        <f t="shared" ca="1" si="11"/>
        <v>11.636209463123697</v>
      </c>
      <c r="H49" s="307">
        <f t="shared" ca="1" si="12"/>
        <v>63.34444310457782</v>
      </c>
      <c r="I49" s="304">
        <f t="shared" ca="1" si="13"/>
        <v>64.404346459682245</v>
      </c>
      <c r="J49" s="306">
        <f t="shared" ca="1" si="14"/>
        <v>2.4619755057277688</v>
      </c>
      <c r="K49" s="307">
        <f t="shared" ca="1" si="15"/>
        <v>13.720263908657003</v>
      </c>
      <c r="L49" s="304">
        <f t="shared" ca="1" si="0"/>
        <v>13.939403327043788</v>
      </c>
      <c r="M49" s="306">
        <f t="shared" ca="1" si="16"/>
        <v>1.3891243478612145</v>
      </c>
      <c r="N49" s="304">
        <f t="shared" ca="1" si="17"/>
        <v>79.590962351310424</v>
      </c>
      <c r="P49" s="310">
        <f t="shared" ca="1" si="18"/>
        <v>7</v>
      </c>
      <c r="Q49" s="304">
        <f t="shared" ca="1" si="19"/>
        <v>1328.3176250000001</v>
      </c>
      <c r="R49" s="306">
        <f t="shared" ca="1" si="20"/>
        <v>0.65277745150501987</v>
      </c>
      <c r="S49" s="307">
        <f t="shared" ca="1" si="21"/>
        <v>8.1798965509460828</v>
      </c>
      <c r="T49" s="304">
        <f t="shared" ca="1" si="1"/>
        <v>80.244785164781078</v>
      </c>
      <c r="U49" s="311">
        <f t="shared" ca="1" si="2"/>
        <v>0</v>
      </c>
      <c r="V49" s="306">
        <f t="shared" ca="1" si="3"/>
        <v>1.2233204198853111</v>
      </c>
      <c r="W49" s="304">
        <f t="shared" ca="1" si="4"/>
        <v>16.097807507296469</v>
      </c>
      <c r="Y49" s="314" t="str">
        <f t="shared" ca="1" si="22"/>
        <v/>
      </c>
      <c r="Z49" s="315" t="str">
        <f t="shared" ca="1" si="23"/>
        <v/>
      </c>
      <c r="AA49" s="316" t="str">
        <f t="shared" ca="1" si="24"/>
        <v/>
      </c>
      <c r="AC49" s="310" t="e">
        <f t="shared" ca="1" si="25"/>
        <v>#N/A</v>
      </c>
      <c r="AD49" s="323" t="e">
        <f t="shared" ca="1" si="26"/>
        <v>#N/A</v>
      </c>
      <c r="AE49" s="324">
        <f t="shared" ca="1" si="5"/>
        <v>13.720263908657003</v>
      </c>
      <c r="AG49" s="306">
        <f t="shared" ca="1" si="27"/>
        <v>150.86205519943047</v>
      </c>
      <c r="AH49" s="304">
        <f t="shared" ca="1" si="28"/>
        <v>160.51109854981061</v>
      </c>
    </row>
    <row r="50" spans="1:34" x14ac:dyDescent="0.2">
      <c r="A50" s="347">
        <f t="shared" ca="1" si="6"/>
        <v>0.01</v>
      </c>
      <c r="B50" s="304">
        <f t="shared" ca="1" si="7"/>
        <v>0.46000000000000024</v>
      </c>
      <c r="D50" s="306">
        <f t="shared" ca="1" si="8"/>
        <v>28.991831338844943</v>
      </c>
      <c r="E50" s="307">
        <f t="shared" ca="1" si="9"/>
        <v>148.01385291025741</v>
      </c>
      <c r="F50" s="304">
        <f t="shared" ca="1" si="10"/>
        <v>150.82647956416454</v>
      </c>
      <c r="G50" s="306">
        <f t="shared" ca="1" si="11"/>
        <v>11.926127776512146</v>
      </c>
      <c r="H50" s="307">
        <f t="shared" ca="1" si="12"/>
        <v>64.824581633680395</v>
      </c>
      <c r="I50" s="304">
        <f t="shared" ca="1" si="13"/>
        <v>65.912509493444318</v>
      </c>
      <c r="J50" s="306">
        <f t="shared" ca="1" si="14"/>
        <v>2.5797871919259481</v>
      </c>
      <c r="K50" s="307">
        <f t="shared" ca="1" si="15"/>
        <v>14.361109032348294</v>
      </c>
      <c r="L50" s="304">
        <f t="shared" ca="1" si="0"/>
        <v>14.590981961287627</v>
      </c>
      <c r="M50" s="306">
        <f t="shared" ca="1" si="16"/>
        <v>1.3888554437027056</v>
      </c>
      <c r="N50" s="304">
        <f t="shared" ca="1" si="17"/>
        <v>79.575555277934342</v>
      </c>
      <c r="P50" s="310">
        <f t="shared" ca="1" si="18"/>
        <v>7</v>
      </c>
      <c r="Q50" s="304">
        <f t="shared" ca="1" si="19"/>
        <v>1327.634875</v>
      </c>
      <c r="R50" s="306">
        <f t="shared" ca="1" si="20"/>
        <v>0.6524419264795086</v>
      </c>
      <c r="S50" s="307">
        <f t="shared" ca="1" si="21"/>
        <v>8.1733721316812868</v>
      </c>
      <c r="T50" s="304">
        <f t="shared" ca="1" si="1"/>
        <v>80.180780611793423</v>
      </c>
      <c r="U50" s="311">
        <f t="shared" ca="1" si="2"/>
        <v>0</v>
      </c>
      <c r="V50" s="306">
        <f t="shared" ca="1" si="3"/>
        <v>1.2232420264660175</v>
      </c>
      <c r="W50" s="304">
        <f t="shared" ca="1" si="4"/>
        <v>16.859482386016651</v>
      </c>
      <c r="Y50" s="314" t="str">
        <f t="shared" ca="1" si="22"/>
        <v/>
      </c>
      <c r="Z50" s="315" t="str">
        <f t="shared" ca="1" si="23"/>
        <v/>
      </c>
      <c r="AA50" s="316" t="str">
        <f t="shared" ca="1" si="24"/>
        <v/>
      </c>
      <c r="AC50" s="310" t="e">
        <f t="shared" ca="1" si="25"/>
        <v>#N/A</v>
      </c>
      <c r="AD50" s="323" t="e">
        <f t="shared" ca="1" si="26"/>
        <v>#N/A</v>
      </c>
      <c r="AE50" s="324">
        <f t="shared" ca="1" si="5"/>
        <v>14.361109032348294</v>
      </c>
      <c r="AG50" s="306">
        <f t="shared" ca="1" si="27"/>
        <v>150.81606507135459</v>
      </c>
      <c r="AH50" s="304">
        <f t="shared" ca="1" si="28"/>
        <v>160.46462174516412</v>
      </c>
    </row>
    <row r="51" spans="1:34" x14ac:dyDescent="0.2">
      <c r="A51" s="347">
        <f t="shared" ca="1" si="6"/>
        <v>0.01</v>
      </c>
      <c r="B51" s="304">
        <f t="shared" ca="1" si="7"/>
        <v>0.47000000000000025</v>
      </c>
      <c r="D51" s="306">
        <f t="shared" ca="1" si="8"/>
        <v>29.025451434862262</v>
      </c>
      <c r="E51" s="307">
        <f t="shared" ca="1" si="9"/>
        <v>147.95811897817237</v>
      </c>
      <c r="F51" s="304">
        <f t="shared" ca="1" si="10"/>
        <v>150.778253745547</v>
      </c>
      <c r="G51" s="306">
        <f t="shared" ca="1" si="11"/>
        <v>12.21638229086077</v>
      </c>
      <c r="H51" s="307">
        <f t="shared" ca="1" si="12"/>
        <v>66.304162823462121</v>
      </c>
      <c r="I51" s="304">
        <f t="shared" ca="1" si="13"/>
        <v>67.42018988401496</v>
      </c>
      <c r="J51" s="306">
        <f t="shared" ca="1" si="14"/>
        <v>2.7004997422628128</v>
      </c>
      <c r="K51" s="307">
        <f t="shared" ca="1" si="15"/>
        <v>15.016752754634005</v>
      </c>
      <c r="L51" s="304">
        <f t="shared" ca="1" si="0"/>
        <v>15.2576394685341</v>
      </c>
      <c r="M51" s="306">
        <f t="shared" ca="1" si="16"/>
        <v>1.388592168077829</v>
      </c>
      <c r="N51" s="304">
        <f t="shared" ca="1" si="17"/>
        <v>79.560470695780239</v>
      </c>
      <c r="P51" s="310">
        <f t="shared" ca="1" si="18"/>
        <v>7</v>
      </c>
      <c r="Q51" s="304">
        <f t="shared" ca="1" si="19"/>
        <v>1326.952125</v>
      </c>
      <c r="R51" s="306">
        <f t="shared" ca="1" si="20"/>
        <v>0.65210640145399745</v>
      </c>
      <c r="S51" s="307">
        <f t="shared" ca="1" si="21"/>
        <v>8.1668510676667463</v>
      </c>
      <c r="T51" s="304">
        <f t="shared" ca="1" si="1"/>
        <v>80.116808973810791</v>
      </c>
      <c r="U51" s="311">
        <f t="shared" ca="1" si="2"/>
        <v>0</v>
      </c>
      <c r="V51" s="306">
        <f t="shared" ca="1" si="3"/>
        <v>1.2231618279563126</v>
      </c>
      <c r="W51" s="304">
        <f t="shared" ca="1" si="4"/>
        <v>17.638433480621369</v>
      </c>
      <c r="Y51" s="314" t="str">
        <f t="shared" ca="1" si="22"/>
        <v/>
      </c>
      <c r="Z51" s="315" t="str">
        <f t="shared" ca="1" si="23"/>
        <v/>
      </c>
      <c r="AA51" s="316" t="str">
        <f t="shared" ca="1" si="24"/>
        <v/>
      </c>
      <c r="AC51" s="310" t="e">
        <f t="shared" ca="1" si="25"/>
        <v>#N/A</v>
      </c>
      <c r="AD51" s="323" t="e">
        <f t="shared" ca="1" si="26"/>
        <v>#N/A</v>
      </c>
      <c r="AE51" s="324">
        <f t="shared" ca="1" si="5"/>
        <v>15.016752754634005</v>
      </c>
      <c r="AG51" s="306">
        <f t="shared" ca="1" si="27"/>
        <v>150.76780539872831</v>
      </c>
      <c r="AH51" s="304">
        <f t="shared" ca="1" si="28"/>
        <v>160.41588511400079</v>
      </c>
    </row>
    <row r="52" spans="1:34" x14ac:dyDescent="0.2">
      <c r="A52" s="347">
        <f t="shared" ca="1" si="6"/>
        <v>0.01</v>
      </c>
      <c r="B52" s="304">
        <f t="shared" ca="1" si="7"/>
        <v>0.48000000000000026</v>
      </c>
      <c r="D52" s="306">
        <f t="shared" ca="1" si="8"/>
        <v>29.057746289123894</v>
      </c>
      <c r="E52" s="307">
        <f t="shared" ca="1" si="9"/>
        <v>147.9003184367661</v>
      </c>
      <c r="F52" s="304">
        <f t="shared" ca="1" si="10"/>
        <v>150.72775727482946</v>
      </c>
      <c r="G52" s="306">
        <f t="shared" ca="1" si="11"/>
        <v>12.506959753752009</v>
      </c>
      <c r="H52" s="307">
        <f t="shared" ca="1" si="12"/>
        <v>67.783166007829777</v>
      </c>
      <c r="I52" s="304">
        <f t="shared" ca="1" si="13"/>
        <v>68.927364930969048</v>
      </c>
      <c r="J52" s="306">
        <f t="shared" ca="1" si="14"/>
        <v>2.8241164524858768</v>
      </c>
      <c r="K52" s="307">
        <f t="shared" ca="1" si="15"/>
        <v>15.687189398790466</v>
      </c>
      <c r="L52" s="304">
        <f t="shared" ca="1" si="0"/>
        <v>15.939370908876089</v>
      </c>
      <c r="M52" s="306">
        <f t="shared" ca="1" si="16"/>
        <v>1.388334280763299</v>
      </c>
      <c r="N52" s="304">
        <f t="shared" ca="1" si="17"/>
        <v>79.545694841067714</v>
      </c>
      <c r="P52" s="310">
        <f t="shared" ca="1" si="18"/>
        <v>7</v>
      </c>
      <c r="Q52" s="304">
        <f t="shared" ca="1" si="19"/>
        <v>1326.2693750000001</v>
      </c>
      <c r="R52" s="306">
        <f t="shared" ca="1" si="20"/>
        <v>0.65177087642848641</v>
      </c>
      <c r="S52" s="307">
        <f t="shared" ca="1" si="21"/>
        <v>8.1603333589024611</v>
      </c>
      <c r="T52" s="304">
        <f t="shared" ca="1" si="1"/>
        <v>80.052870250833152</v>
      </c>
      <c r="U52" s="311">
        <f t="shared" ca="1" si="2"/>
        <v>0</v>
      </c>
      <c r="V52" s="306">
        <f t="shared" ca="1" si="3"/>
        <v>1.2230798254057749</v>
      </c>
      <c r="W52" s="304">
        <f t="shared" ca="1" si="4"/>
        <v>18.434624847430673</v>
      </c>
      <c r="Y52" s="314" t="str">
        <f t="shared" ca="1" si="22"/>
        <v/>
      </c>
      <c r="Z52" s="315" t="str">
        <f t="shared" ca="1" si="23"/>
        <v/>
      </c>
      <c r="AA52" s="316" t="str">
        <f t="shared" ca="1" si="24"/>
        <v/>
      </c>
      <c r="AC52" s="310" t="e">
        <f t="shared" ca="1" si="25"/>
        <v>#N/A</v>
      </c>
      <c r="AD52" s="323" t="e">
        <f t="shared" ca="1" si="26"/>
        <v>#N/A</v>
      </c>
      <c r="AE52" s="324">
        <f t="shared" ca="1" si="5"/>
        <v>15.687189398790466</v>
      </c>
      <c r="AG52" s="306">
        <f t="shared" ca="1" si="27"/>
        <v>150.71727549170305</v>
      </c>
      <c r="AH52" s="304">
        <f t="shared" ca="1" si="28"/>
        <v>160.36488755593993</v>
      </c>
    </row>
    <row r="53" spans="1:34" x14ac:dyDescent="0.2">
      <c r="A53" s="347">
        <f t="shared" ca="1" si="6"/>
        <v>0.01</v>
      </c>
      <c r="B53" s="304">
        <f t="shared" ca="1" si="7"/>
        <v>0.49000000000000027</v>
      </c>
      <c r="D53" s="306">
        <f t="shared" ca="1" si="8"/>
        <v>29.088752819259078</v>
      </c>
      <c r="E53" s="307">
        <f t="shared" ca="1" si="9"/>
        <v>147.84044424301902</v>
      </c>
      <c r="F53" s="304">
        <f t="shared" ca="1" si="10"/>
        <v>150.67498961192319</v>
      </c>
      <c r="G53" s="306">
        <f t="shared" ca="1" si="11"/>
        <v>12.7978472819446</v>
      </c>
      <c r="H53" s="307">
        <f t="shared" ca="1" si="12"/>
        <v>69.261570450259967</v>
      </c>
      <c r="I53" s="304">
        <f t="shared" ca="1" si="13"/>
        <v>70.434011928104027</v>
      </c>
      <c r="J53" s="306">
        <f t="shared" ca="1" si="14"/>
        <v>2.9506404876643599</v>
      </c>
      <c r="K53" s="307">
        <f t="shared" ca="1" si="15"/>
        <v>16.372413081080914</v>
      </c>
      <c r="L53" s="304">
        <f t="shared" ca="1" si="0"/>
        <v>16.636171115523954</v>
      </c>
      <c r="M53" s="306">
        <f t="shared" ca="1" si="16"/>
        <v>1.3880815566613891</v>
      </c>
      <c r="N53" s="304">
        <f t="shared" ca="1" si="17"/>
        <v>79.531214816647037</v>
      </c>
      <c r="P53" s="310">
        <f t="shared" ca="1" si="18"/>
        <v>7</v>
      </c>
      <c r="Q53" s="304">
        <f t="shared" ca="1" si="19"/>
        <v>1325.5866250000001</v>
      </c>
      <c r="R53" s="306">
        <f t="shared" ca="1" si="20"/>
        <v>0.65143535140297526</v>
      </c>
      <c r="S53" s="307">
        <f t="shared" ca="1" si="21"/>
        <v>8.1538190053884314</v>
      </c>
      <c r="T53" s="304">
        <f t="shared" ca="1" si="1"/>
        <v>79.988964442860521</v>
      </c>
      <c r="U53" s="311">
        <f t="shared" ca="1" si="2"/>
        <v>0</v>
      </c>
      <c r="V53" s="306">
        <f t="shared" ca="1" si="3"/>
        <v>1.2229960198970704</v>
      </c>
      <c r="W53" s="304">
        <f t="shared" ca="1" si="4"/>
        <v>19.248019340635956</v>
      </c>
      <c r="Y53" s="314" t="str">
        <f t="shared" ca="1" si="22"/>
        <v/>
      </c>
      <c r="Z53" s="315" t="str">
        <f t="shared" ca="1" si="23"/>
        <v/>
      </c>
      <c r="AA53" s="316" t="str">
        <f t="shared" ca="1" si="24"/>
        <v/>
      </c>
      <c r="AC53" s="310" t="e">
        <f t="shared" ca="1" si="25"/>
        <v>#N/A</v>
      </c>
      <c r="AD53" s="323" t="e">
        <f t="shared" ca="1" si="26"/>
        <v>#N/A</v>
      </c>
      <c r="AE53" s="324">
        <f t="shared" ca="1" si="5"/>
        <v>16.372413081080914</v>
      </c>
      <c r="AG53" s="306">
        <f t="shared" ca="1" si="27"/>
        <v>150.6644747843427</v>
      </c>
      <c r="AH53" s="304">
        <f t="shared" ca="1" si="28"/>
        <v>160.31162812036189</v>
      </c>
    </row>
    <row r="54" spans="1:34" x14ac:dyDescent="0.2">
      <c r="A54" s="347">
        <f t="shared" ca="1" si="6"/>
        <v>0.01</v>
      </c>
      <c r="B54" s="304">
        <f t="shared" ca="1" si="7"/>
        <v>0.50000000000000022</v>
      </c>
      <c r="D54" s="306">
        <f t="shared" ca="1" si="8"/>
        <v>29.118505598785703</v>
      </c>
      <c r="E54" s="307">
        <f t="shared" ca="1" si="9"/>
        <v>147.77848988469393</v>
      </c>
      <c r="F54" s="304">
        <f t="shared" ca="1" si="10"/>
        <v>150.61995034160347</v>
      </c>
      <c r="G54" s="306">
        <f t="shared" ca="1" si="11"/>
        <v>13.089032337932457</v>
      </c>
      <c r="H54" s="307">
        <f t="shared" ca="1" si="12"/>
        <v>70.739355349106901</v>
      </c>
      <c r="I54" s="304">
        <f t="shared" ca="1" si="13"/>
        <v>71.940108164713379</v>
      </c>
      <c r="J54" s="306">
        <f t="shared" ca="1" si="14"/>
        <v>3.0800748857637452</v>
      </c>
      <c r="K54" s="307">
        <f t="shared" ca="1" si="15"/>
        <v>17.072417710077747</v>
      </c>
      <c r="L54" s="304">
        <f t="shared" ca="1" si="0"/>
        <v>17.348034694722305</v>
      </c>
      <c r="M54" s="306">
        <f t="shared" ca="1" si="16"/>
        <v>1.387833784549712</v>
      </c>
      <c r="N54" s="304">
        <f t="shared" ca="1" si="17"/>
        <v>79.517018520366889</v>
      </c>
      <c r="P54" s="310">
        <f t="shared" ca="1" si="18"/>
        <v>7</v>
      </c>
      <c r="Q54" s="304">
        <f t="shared" ca="1" si="19"/>
        <v>1324.903875</v>
      </c>
      <c r="R54" s="306">
        <f t="shared" ca="1" si="20"/>
        <v>0.651099826377464</v>
      </c>
      <c r="S54" s="307">
        <f t="shared" ca="1" si="21"/>
        <v>8.1473080071246571</v>
      </c>
      <c r="T54" s="304">
        <f t="shared" ca="1" si="1"/>
        <v>79.925091549892883</v>
      </c>
      <c r="U54" s="311">
        <f t="shared" ca="1" si="2"/>
        <v>0</v>
      </c>
      <c r="V54" s="306">
        <f t="shared" ca="1" si="3"/>
        <v>1.2229104125460084</v>
      </c>
      <c r="W54" s="304">
        <f t="shared" ca="1" si="4"/>
        <v>20.078578614645377</v>
      </c>
      <c r="Y54" s="314" t="str">
        <f t="shared" ca="1" si="22"/>
        <v/>
      </c>
      <c r="Z54" s="315" t="str">
        <f t="shared" ca="1" si="23"/>
        <v/>
      </c>
      <c r="AA54" s="316" t="str">
        <f t="shared" ca="1" si="24"/>
        <v/>
      </c>
      <c r="AC54" s="310" t="e">
        <f t="shared" ca="1" si="25"/>
        <v>#N/A</v>
      </c>
      <c r="AD54" s="323" t="e">
        <f t="shared" ca="1" si="26"/>
        <v>#N/A</v>
      </c>
      <c r="AE54" s="324">
        <f t="shared" ca="1" si="5"/>
        <v>17.072417710077747</v>
      </c>
      <c r="AG54" s="306">
        <f t="shared" ca="1" si="27"/>
        <v>150.60940283710767</v>
      </c>
      <c r="AH54" s="304">
        <f t="shared" ca="1" si="28"/>
        <v>160.25610600674409</v>
      </c>
    </row>
    <row r="55" spans="1:34" x14ac:dyDescent="0.2">
      <c r="A55" s="347">
        <f t="shared" ca="1" si="6"/>
        <v>0.01</v>
      </c>
      <c r="B55" s="304">
        <f t="shared" ca="1" si="7"/>
        <v>0.51000000000000023</v>
      </c>
      <c r="D55" s="306">
        <f t="shared" ca="1" si="8"/>
        <v>29.147037054163764</v>
      </c>
      <c r="E55" s="307">
        <f t="shared" ca="1" si="9"/>
        <v>147.71444934930648</v>
      </c>
      <c r="F55" s="304">
        <f t="shared" ca="1" si="10"/>
        <v>150.56263917587796</v>
      </c>
      <c r="G55" s="306">
        <f t="shared" ca="1" si="11"/>
        <v>13.380502708474094</v>
      </c>
      <c r="H55" s="307">
        <f t="shared" ca="1" si="12"/>
        <v>72.216499842599973</v>
      </c>
      <c r="I55" s="304">
        <f t="shared" ca="1" si="13"/>
        <v>73.445630926881719</v>
      </c>
      <c r="J55" s="306">
        <f t="shared" ca="1" si="14"/>
        <v>3.2124225609957779</v>
      </c>
      <c r="K55" s="307">
        <f t="shared" ca="1" si="15"/>
        <v>17.787196986036282</v>
      </c>
      <c r="L55" s="304">
        <f t="shared" ca="1" si="0"/>
        <v>18.074956025685175</v>
      </c>
      <c r="M55" s="306">
        <f t="shared" ca="1" si="16"/>
        <v>1.387590765957931</v>
      </c>
      <c r="N55" s="304">
        <f t="shared" ca="1" si="17"/>
        <v>79.503094580714631</v>
      </c>
      <c r="P55" s="310">
        <f t="shared" ca="1" si="18"/>
        <v>7</v>
      </c>
      <c r="Q55" s="304">
        <f t="shared" ca="1" si="19"/>
        <v>1324.221125</v>
      </c>
      <c r="R55" s="306">
        <f t="shared" ca="1" si="20"/>
        <v>0.65076430135195285</v>
      </c>
      <c r="S55" s="307">
        <f t="shared" ca="1" si="21"/>
        <v>8.1408003641111382</v>
      </c>
      <c r="T55" s="304">
        <f t="shared" ca="1" si="1"/>
        <v>79.861251571930268</v>
      </c>
      <c r="U55" s="311">
        <f t="shared" ca="1" si="2"/>
        <v>0</v>
      </c>
      <c r="V55" s="306">
        <f t="shared" ca="1" si="3"/>
        <v>1.2228230045015991</v>
      </c>
      <c r="W55" s="304">
        <f t="shared" ca="1" si="4"/>
        <v>20.926263126600769</v>
      </c>
      <c r="Y55" s="314" t="str">
        <f t="shared" ca="1" si="22"/>
        <v/>
      </c>
      <c r="Z55" s="315" t="str">
        <f t="shared" ca="1" si="23"/>
        <v/>
      </c>
      <c r="AA55" s="316" t="str">
        <f t="shared" ca="1" si="24"/>
        <v/>
      </c>
      <c r="AC55" s="310" t="e">
        <f t="shared" ca="1" si="25"/>
        <v>#N/A</v>
      </c>
      <c r="AD55" s="323" t="e">
        <f t="shared" ca="1" si="26"/>
        <v>#N/A</v>
      </c>
      <c r="AE55" s="324">
        <f t="shared" ca="1" si="5"/>
        <v>17.787196986036282</v>
      </c>
      <c r="AG55" s="306">
        <f t="shared" ca="1" si="27"/>
        <v>150.55205933909872</v>
      </c>
      <c r="AH55" s="304">
        <f t="shared" ca="1" si="28"/>
        <v>160.19832056497665</v>
      </c>
    </row>
    <row r="56" spans="1:34" x14ac:dyDescent="0.2">
      <c r="A56" s="347">
        <f t="shared" ca="1" si="6"/>
        <v>0.01</v>
      </c>
      <c r="B56" s="304">
        <f t="shared" ca="1" si="7"/>
        <v>0.52000000000000024</v>
      </c>
      <c r="D56" s="306">
        <f t="shared" ca="1" si="8"/>
        <v>29.174377641810803</v>
      </c>
      <c r="E56" s="307">
        <f t="shared" ca="1" si="9"/>
        <v>147.64831709622285</v>
      </c>
      <c r="F56" s="304">
        <f t="shared" ca="1" si="10"/>
        <v>150.50305595612923</v>
      </c>
      <c r="G56" s="306">
        <f t="shared" ca="1" si="11"/>
        <v>13.672246484892202</v>
      </c>
      <c r="H56" s="307">
        <f t="shared" ca="1" si="12"/>
        <v>73.692983013562198</v>
      </c>
      <c r="I56" s="304">
        <f t="shared" ca="1" si="13"/>
        <v>74.950557498799256</v>
      </c>
      <c r="J56" s="306">
        <f t="shared" ca="1" si="14"/>
        <v>3.3476863069626095</v>
      </c>
      <c r="K56" s="307">
        <f t="shared" ca="1" si="15"/>
        <v>18.516744400317094</v>
      </c>
      <c r="L56" s="304">
        <f t="shared" ca="1" si="0"/>
        <v>18.816929260548847</v>
      </c>
      <c r="M56" s="306">
        <f t="shared" ca="1" si="16"/>
        <v>1.3873523141562187</v>
      </c>
      <c r="N56" s="304">
        <f t="shared" ca="1" si="17"/>
        <v>79.489432298859228</v>
      </c>
      <c r="P56" s="310">
        <f t="shared" ca="1" si="18"/>
        <v>7</v>
      </c>
      <c r="Q56" s="304">
        <f t="shared" ca="1" si="19"/>
        <v>1323.5383750000001</v>
      </c>
      <c r="R56" s="306">
        <f t="shared" ca="1" si="20"/>
        <v>0.65042877632644169</v>
      </c>
      <c r="S56" s="307">
        <f t="shared" ca="1" si="21"/>
        <v>8.1342960763478729</v>
      </c>
      <c r="T56" s="304">
        <f t="shared" ca="1" si="1"/>
        <v>79.797444508972632</v>
      </c>
      <c r="U56" s="311">
        <f t="shared" ca="1" si="2"/>
        <v>0</v>
      </c>
      <c r="V56" s="306">
        <f t="shared" ca="1" si="3"/>
        <v>1.2227337969460967</v>
      </c>
      <c r="W56" s="304">
        <f t="shared" ca="1" si="4"/>
        <v>21.7910321390661</v>
      </c>
      <c r="Y56" s="314" t="str">
        <f t="shared" ca="1" si="22"/>
        <v/>
      </c>
      <c r="Z56" s="315" t="str">
        <f t="shared" ca="1" si="23"/>
        <v/>
      </c>
      <c r="AA56" s="316" t="str">
        <f t="shared" ca="1" si="24"/>
        <v/>
      </c>
      <c r="AC56" s="310" t="e">
        <f t="shared" ca="1" si="25"/>
        <v>#N/A</v>
      </c>
      <c r="AD56" s="323" t="e">
        <f t="shared" ca="1" si="26"/>
        <v>#N/A</v>
      </c>
      <c r="AE56" s="324">
        <f t="shared" ca="1" si="5"/>
        <v>18.516744400317094</v>
      </c>
      <c r="AG56" s="306">
        <f t="shared" ca="1" si="27"/>
        <v>150.49244411008698</v>
      </c>
      <c r="AH56" s="304">
        <f t="shared" ca="1" si="28"/>
        <v>160.13827129565766</v>
      </c>
    </row>
    <row r="57" spans="1:34" x14ac:dyDescent="0.2">
      <c r="A57" s="347">
        <f t="shared" ca="1" si="6"/>
        <v>0.01</v>
      </c>
      <c r="B57" s="304">
        <f t="shared" ca="1" si="7"/>
        <v>0.53000000000000025</v>
      </c>
      <c r="D57" s="306">
        <f t="shared" ca="1" si="8"/>
        <v>29.200556007478756</v>
      </c>
      <c r="E57" s="307">
        <f t="shared" ca="1" si="9"/>
        <v>147.58008803151117</v>
      </c>
      <c r="F57" s="304">
        <f t="shared" ca="1" si="10"/>
        <v>150.4412006550549</v>
      </c>
      <c r="G57" s="306">
        <f t="shared" ca="1" si="11"/>
        <v>13.96425204496699</v>
      </c>
      <c r="H57" s="307">
        <f t="shared" ca="1" si="12"/>
        <v>75.168783893877304</v>
      </c>
      <c r="I57" s="304">
        <f t="shared" ca="1" si="13"/>
        <v>76.454865164093988</v>
      </c>
      <c r="J57" s="306">
        <f t="shared" ca="1" si="14"/>
        <v>3.4858687996119055</v>
      </c>
      <c r="K57" s="307">
        <f t="shared" ca="1" si="15"/>
        <v>19.261053234854291</v>
      </c>
      <c r="L57" s="304">
        <f t="shared" ca="1" si="0"/>
        <v>19.573948324341686</v>
      </c>
      <c r="M57" s="306">
        <f t="shared" ca="1" si="16"/>
        <v>1.3871182532423589</v>
      </c>
      <c r="N57" s="304">
        <f t="shared" ca="1" si="17"/>
        <v>79.476021596346087</v>
      </c>
      <c r="P57" s="310">
        <f t="shared" ca="1" si="18"/>
        <v>7</v>
      </c>
      <c r="Q57" s="304">
        <f t="shared" ca="1" si="19"/>
        <v>1322.8556249999999</v>
      </c>
      <c r="R57" s="306">
        <f t="shared" ca="1" si="20"/>
        <v>0.65009325130093043</v>
      </c>
      <c r="S57" s="307">
        <f t="shared" ca="1" si="21"/>
        <v>8.127795143834863</v>
      </c>
      <c r="T57" s="304">
        <f t="shared" ca="1" si="1"/>
        <v>79.733670361020003</v>
      </c>
      <c r="U57" s="311">
        <f t="shared" ca="1" si="2"/>
        <v>0</v>
      </c>
      <c r="V57" s="306">
        <f t="shared" ca="1" si="3"/>
        <v>1.2226427910950404</v>
      </c>
      <c r="W57" s="304">
        <f t="shared" ca="1" si="4"/>
        <v>22.672843722887873</v>
      </c>
      <c r="Y57" s="314" t="str">
        <f t="shared" ca="1" si="22"/>
        <v/>
      </c>
      <c r="Z57" s="315" t="str">
        <f t="shared" ca="1" si="23"/>
        <v/>
      </c>
      <c r="AA57" s="316" t="str">
        <f t="shared" ca="1" si="24"/>
        <v/>
      </c>
      <c r="AC57" s="310" t="e">
        <f t="shared" ca="1" si="25"/>
        <v>#N/A</v>
      </c>
      <c r="AD57" s="323" t="e">
        <f t="shared" ca="1" si="26"/>
        <v>#N/A</v>
      </c>
      <c r="AE57" s="324">
        <f t="shared" ca="1" si="5"/>
        <v>19.261053234854291</v>
      </c>
      <c r="AG57" s="306">
        <f t="shared" ca="1" si="27"/>
        <v>150.43055710235302</v>
      </c>
      <c r="AH57" s="304">
        <f t="shared" ca="1" si="28"/>
        <v>160.07595785036781</v>
      </c>
    </row>
    <row r="58" spans="1:34" x14ac:dyDescent="0.2">
      <c r="A58" s="347">
        <f t="shared" ca="1" si="6"/>
        <v>0.01</v>
      </c>
      <c r="B58" s="304">
        <f t="shared" ca="1" si="7"/>
        <v>0.54000000000000026</v>
      </c>
      <c r="D58" s="306">
        <f t="shared" ca="1" si="8"/>
        <v>29.225599130062484</v>
      </c>
      <c r="E58" s="307">
        <f t="shared" ca="1" si="9"/>
        <v>147.50975748522438</v>
      </c>
      <c r="F58" s="304">
        <f t="shared" ca="1" si="10"/>
        <v>150.37707337842701</v>
      </c>
      <c r="G58" s="306">
        <f t="shared" ca="1" si="11"/>
        <v>14.256508036267615</v>
      </c>
      <c r="H58" s="307">
        <f t="shared" ca="1" si="12"/>
        <v>76.643881468729546</v>
      </c>
      <c r="I58" s="304">
        <f t="shared" ca="1" si="13"/>
        <v>77.958531207179803</v>
      </c>
      <c r="J58" s="306">
        <f t="shared" ca="1" si="14"/>
        <v>3.6269726000180786</v>
      </c>
      <c r="K58" s="307">
        <f t="shared" ca="1" si="15"/>
        <v>20.020116561667326</v>
      </c>
      <c r="L58" s="304">
        <f t="shared" ca="1" si="0"/>
        <v>20.34600691497052</v>
      </c>
      <c r="M58" s="306">
        <f t="shared" ca="1" si="16"/>
        <v>1.3868884173161429</v>
      </c>
      <c r="N58" s="304">
        <f t="shared" ca="1" si="17"/>
        <v>79.462852967793424</v>
      </c>
      <c r="P58" s="310">
        <f t="shared" ca="1" si="18"/>
        <v>7</v>
      </c>
      <c r="Q58" s="304">
        <f t="shared" ca="1" si="19"/>
        <v>1322.172875</v>
      </c>
      <c r="R58" s="306">
        <f t="shared" ca="1" si="20"/>
        <v>0.64975772627541928</v>
      </c>
      <c r="S58" s="307">
        <f t="shared" ca="1" si="21"/>
        <v>8.1212975665721086</v>
      </c>
      <c r="T58" s="304">
        <f t="shared" ca="1" si="1"/>
        <v>79.669929128072383</v>
      </c>
      <c r="U58" s="311">
        <f t="shared" ca="1" si="2"/>
        <v>0</v>
      </c>
      <c r="V58" s="306">
        <f t="shared" ca="1" si="3"/>
        <v>1.2225499881972892</v>
      </c>
      <c r="W58" s="304">
        <f t="shared" ca="1" si="4"/>
        <v>23.571654760227513</v>
      </c>
      <c r="Y58" s="314" t="str">
        <f t="shared" ca="1" si="22"/>
        <v/>
      </c>
      <c r="Z58" s="315" t="str">
        <f t="shared" ca="1" si="23"/>
        <v/>
      </c>
      <c r="AA58" s="316" t="str">
        <f t="shared" ca="1" si="24"/>
        <v/>
      </c>
      <c r="AC58" s="310" t="e">
        <f t="shared" ca="1" si="25"/>
        <v>#N/A</v>
      </c>
      <c r="AD58" s="323" t="e">
        <f t="shared" ca="1" si="26"/>
        <v>#N/A</v>
      </c>
      <c r="AE58" s="324">
        <f t="shared" ca="1" si="5"/>
        <v>20.020116561667326</v>
      </c>
      <c r="AG58" s="306">
        <f t="shared" ca="1" si="27"/>
        <v>150.36639840235438</v>
      </c>
      <c r="AH58" s="304">
        <f t="shared" ca="1" si="28"/>
        <v>160.01138003192435</v>
      </c>
    </row>
    <row r="59" spans="1:34" x14ac:dyDescent="0.2">
      <c r="A59" s="347">
        <f t="shared" ca="1" si="6"/>
        <v>0.01</v>
      </c>
      <c r="B59" s="304">
        <f t="shared" ca="1" si="7"/>
        <v>0.55000000000000027</v>
      </c>
      <c r="D59" s="306">
        <f t="shared" ca="1" si="8"/>
        <v>29.249532451632636</v>
      </c>
      <c r="E59" s="307">
        <f t="shared" ca="1" si="9"/>
        <v>147.43732119083464</v>
      </c>
      <c r="F59" s="304">
        <f t="shared" ca="1" si="10"/>
        <v>150.31067436668778</v>
      </c>
      <c r="G59" s="306">
        <f t="shared" ca="1" si="11"/>
        <v>14.54900336078394</v>
      </c>
      <c r="H59" s="307">
        <f t="shared" ca="1" si="12"/>
        <v>78.118254680637889</v>
      </c>
      <c r="I59" s="304">
        <f t="shared" ca="1" si="13"/>
        <v>79.46153291461917</v>
      </c>
      <c r="J59" s="306">
        <f t="shared" ca="1" si="14"/>
        <v>3.7710001570033365</v>
      </c>
      <c r="K59" s="307">
        <f t="shared" ca="1" si="15"/>
        <v>20.793927242414163</v>
      </c>
      <c r="L59" s="304">
        <f t="shared" ca="1" si="0"/>
        <v>21.133098503223163</v>
      </c>
      <c r="M59" s="306">
        <f t="shared" ca="1" si="16"/>
        <v>1.3866626497312187</v>
      </c>
      <c r="N59" s="304">
        <f t="shared" ca="1" si="17"/>
        <v>79.449917438026404</v>
      </c>
      <c r="P59" s="310">
        <f t="shared" ca="1" si="18"/>
        <v>7</v>
      </c>
      <c r="Q59" s="304">
        <f t="shared" ca="1" si="19"/>
        <v>1321.490125</v>
      </c>
      <c r="R59" s="306">
        <f t="shared" ca="1" si="20"/>
        <v>0.64942220124990824</v>
      </c>
      <c r="S59" s="307">
        <f t="shared" ca="1" si="21"/>
        <v>8.1148033445596095</v>
      </c>
      <c r="T59" s="304">
        <f t="shared" ca="1" si="1"/>
        <v>79.60622081012977</v>
      </c>
      <c r="U59" s="311">
        <f t="shared" ca="1" si="2"/>
        <v>0</v>
      </c>
      <c r="V59" s="306">
        <f t="shared" ca="1" si="3"/>
        <v>1.2224553895350476</v>
      </c>
      <c r="W59" s="304">
        <f t="shared" ca="1" si="4"/>
        <v>24.487420947765766</v>
      </c>
      <c r="Y59" s="314" t="str">
        <f t="shared" ca="1" si="22"/>
        <v/>
      </c>
      <c r="Z59" s="315" t="str">
        <f t="shared" ca="1" si="23"/>
        <v/>
      </c>
      <c r="AA59" s="316" t="str">
        <f t="shared" ca="1" si="24"/>
        <v/>
      </c>
      <c r="AC59" s="310" t="e">
        <f t="shared" ca="1" si="25"/>
        <v>#N/A</v>
      </c>
      <c r="AD59" s="323" t="e">
        <f t="shared" ca="1" si="26"/>
        <v>#N/A</v>
      </c>
      <c r="AE59" s="324">
        <f t="shared" ca="1" si="5"/>
        <v>20.793927242414163</v>
      </c>
      <c r="AG59" s="306">
        <f t="shared" ca="1" si="27"/>
        <v>150.29996823223863</v>
      </c>
      <c r="AH59" s="304">
        <f t="shared" ca="1" si="28"/>
        <v>159.94453779461375</v>
      </c>
    </row>
    <row r="60" spans="1:34" x14ac:dyDescent="0.2">
      <c r="A60" s="347">
        <f t="shared" ca="1" si="6"/>
        <v>0.01</v>
      </c>
      <c r="B60" s="304">
        <f t="shared" ca="1" si="7"/>
        <v>0.56000000000000028</v>
      </c>
      <c r="D60" s="306">
        <f t="shared" ca="1" si="8"/>
        <v>29.272379995247686</v>
      </c>
      <c r="E60" s="307">
        <f t="shared" ca="1" si="9"/>
        <v>147.36277526657699</v>
      </c>
      <c r="F60" s="304">
        <f t="shared" ca="1" si="10"/>
        <v>150.24200399639861</v>
      </c>
      <c r="G60" s="306">
        <f t="shared" ca="1" si="11"/>
        <v>14.841727160736417</v>
      </c>
      <c r="H60" s="307">
        <f t="shared" ca="1" si="12"/>
        <v>79.591882433303653</v>
      </c>
      <c r="I60" s="304">
        <f t="shared" ca="1" si="13"/>
        <v>80.963847576499049</v>
      </c>
      <c r="J60" s="306">
        <f t="shared" ca="1" si="14"/>
        <v>3.9179538096109381</v>
      </c>
      <c r="K60" s="307">
        <f t="shared" ca="1" si="15"/>
        <v>21.58247792798387</v>
      </c>
      <c r="L60" s="304">
        <f t="shared" ca="1" si="0"/>
        <v>21.935216332786776</v>
      </c>
      <c r="M60" s="306">
        <f t="shared" ca="1" si="16"/>
        <v>1.3864408024158121</v>
      </c>
      <c r="N60" s="304">
        <f t="shared" ca="1" si="17"/>
        <v>79.4372065231573</v>
      </c>
      <c r="P60" s="310">
        <f t="shared" ca="1" si="18"/>
        <v>7</v>
      </c>
      <c r="Q60" s="304">
        <f t="shared" ca="1" si="19"/>
        <v>1320.8073750000001</v>
      </c>
      <c r="R60" s="306">
        <f t="shared" ca="1" si="20"/>
        <v>0.64908667622439709</v>
      </c>
      <c r="S60" s="307">
        <f t="shared" ca="1" si="21"/>
        <v>8.1083124777973659</v>
      </c>
      <c r="T60" s="304">
        <f t="shared" ca="1" si="1"/>
        <v>79.542545407192165</v>
      </c>
      <c r="U60" s="311">
        <f t="shared" ca="1" si="2"/>
        <v>0</v>
      </c>
      <c r="V60" s="306">
        <f t="shared" ca="1" si="3"/>
        <v>1.2223589964238917</v>
      </c>
      <c r="W60" s="304">
        <f t="shared" ca="1" si="4"/>
        <v>25.420096800079222</v>
      </c>
      <c r="Y60" s="314" t="str">
        <f t="shared" ca="1" si="22"/>
        <v/>
      </c>
      <c r="Z60" s="315" t="str">
        <f t="shared" ca="1" si="23"/>
        <v/>
      </c>
      <c r="AA60" s="316" t="str">
        <f t="shared" ca="1" si="24"/>
        <v/>
      </c>
      <c r="AC60" s="310" t="e">
        <f t="shared" ca="1" si="25"/>
        <v>#N/A</v>
      </c>
      <c r="AD60" s="323" t="e">
        <f t="shared" ca="1" si="26"/>
        <v>#N/A</v>
      </c>
      <c r="AE60" s="324">
        <f t="shared" ca="1" si="5"/>
        <v>21.58247792798387</v>
      </c>
      <c r="AG60" s="306">
        <f t="shared" ca="1" si="27"/>
        <v>150.23126695121701</v>
      </c>
      <c r="AH60" s="304">
        <f t="shared" ca="1" si="28"/>
        <v>159.87543124440381</v>
      </c>
    </row>
    <row r="61" spans="1:34" x14ac:dyDescent="0.2">
      <c r="A61" s="347">
        <f t="shared" ca="1" si="6"/>
        <v>0.01</v>
      </c>
      <c r="B61" s="304">
        <f t="shared" ca="1" si="7"/>
        <v>0.57000000000000028</v>
      </c>
      <c r="D61" s="306">
        <f t="shared" ca="1" si="8"/>
        <v>29.29416447190005</v>
      </c>
      <c r="E61" s="307">
        <f t="shared" ca="1" si="9"/>
        <v>147.28611619848974</v>
      </c>
      <c r="F61" s="304">
        <f t="shared" ca="1" si="10"/>
        <v>150.17106278155507</v>
      </c>
      <c r="G61" s="306">
        <f t="shared" ca="1" si="11"/>
        <v>15.134668805455417</v>
      </c>
      <c r="H61" s="307">
        <f t="shared" ca="1" si="12"/>
        <v>81.064743595288547</v>
      </c>
      <c r="I61" s="304">
        <f t="shared" ca="1" si="13"/>
        <v>82.465452487818808</v>
      </c>
      <c r="J61" s="306">
        <f t="shared" ca="1" si="14"/>
        <v>4.0678357894418973</v>
      </c>
      <c r="K61" s="307">
        <f t="shared" ca="1" si="15"/>
        <v>22.385761058126832</v>
      </c>
      <c r="L61" s="304">
        <f t="shared" ca="1" si="0"/>
        <v>22.752353420281871</v>
      </c>
      <c r="M61" s="306">
        <f t="shared" ca="1" si="16"/>
        <v>1.3862227352548386</v>
      </c>
      <c r="N61" s="304">
        <f t="shared" ca="1" si="17"/>
        <v>79.424712195183119</v>
      </c>
      <c r="P61" s="310">
        <f t="shared" ca="1" si="18"/>
        <v>7</v>
      </c>
      <c r="Q61" s="304">
        <f t="shared" ca="1" si="19"/>
        <v>1320.1246249999999</v>
      </c>
      <c r="R61" s="306">
        <f t="shared" ca="1" si="20"/>
        <v>0.64875115119888582</v>
      </c>
      <c r="S61" s="307">
        <f t="shared" ca="1" si="21"/>
        <v>8.1018249662853776</v>
      </c>
      <c r="T61" s="304">
        <f t="shared" ca="1" si="1"/>
        <v>79.478902919259554</v>
      </c>
      <c r="U61" s="311">
        <f t="shared" ca="1" si="2"/>
        <v>0</v>
      </c>
      <c r="V61" s="306">
        <f t="shared" ca="1" si="3"/>
        <v>1.2222608102127832</v>
      </c>
      <c r="W61" s="304">
        <f t="shared" ca="1" si="4"/>
        <v>26.369635653188737</v>
      </c>
      <c r="Y61" s="314" t="str">
        <f t="shared" ca="1" si="22"/>
        <v/>
      </c>
      <c r="Z61" s="315" t="str">
        <f t="shared" ca="1" si="23"/>
        <v/>
      </c>
      <c r="AA61" s="316" t="str">
        <f t="shared" ca="1" si="24"/>
        <v/>
      </c>
      <c r="AC61" s="310" t="e">
        <f t="shared" ca="1" si="25"/>
        <v>#N/A</v>
      </c>
      <c r="AD61" s="323" t="e">
        <f t="shared" ca="1" si="26"/>
        <v>#N/A</v>
      </c>
      <c r="AE61" s="324">
        <f t="shared" ca="1" si="5"/>
        <v>22.385761058126832</v>
      </c>
      <c r="AG61" s="306">
        <f t="shared" ca="1" si="27"/>
        <v>150.16029505681104</v>
      </c>
      <c r="AH61" s="304">
        <f t="shared" ca="1" si="28"/>
        <v>159.80406063913432</v>
      </c>
    </row>
    <row r="62" spans="1:34" x14ac:dyDescent="0.2">
      <c r="A62" s="347">
        <f t="shared" ca="1" si="6"/>
        <v>0.01</v>
      </c>
      <c r="B62" s="304">
        <f t="shared" ca="1" si="7"/>
        <v>0.58000000000000029</v>
      </c>
      <c r="D62" s="306">
        <f t="shared" ca="1" si="8"/>
        <v>29.314907377777818</v>
      </c>
      <c r="E62" s="307">
        <f t="shared" ca="1" si="9"/>
        <v>147.20734082496719</v>
      </c>
      <c r="F62" s="304">
        <f t="shared" ca="1" si="10"/>
        <v>150.09785137478067</v>
      </c>
      <c r="G62" s="306">
        <f t="shared" ca="1" si="11"/>
        <v>15.427817879233196</v>
      </c>
      <c r="H62" s="307">
        <f t="shared" ca="1" si="12"/>
        <v>82.536817003538218</v>
      </c>
      <c r="I62" s="304">
        <f t="shared" ca="1" si="13"/>
        <v>83.966324949888943</v>
      </c>
      <c r="J62" s="306">
        <f t="shared" ca="1" si="14"/>
        <v>4.2206482228653401</v>
      </c>
      <c r="K62" s="307">
        <f t="shared" ca="1" si="15"/>
        <v>23.203768861120967</v>
      </c>
      <c r="L62" s="304">
        <f t="shared" ca="1" si="0"/>
        <v>23.584502555311687</v>
      </c>
      <c r="M62" s="306">
        <f t="shared" ca="1" si="16"/>
        <v>1.3860083155268503</v>
      </c>
      <c r="N62" s="304">
        <f t="shared" ca="1" si="17"/>
        <v>79.412426849725051</v>
      </c>
      <c r="P62" s="310">
        <f t="shared" ca="1" si="18"/>
        <v>7</v>
      </c>
      <c r="Q62" s="304">
        <f t="shared" ca="1" si="19"/>
        <v>1319.441875</v>
      </c>
      <c r="R62" s="306">
        <f t="shared" ca="1" si="20"/>
        <v>0.64841562617337467</v>
      </c>
      <c r="S62" s="307">
        <f t="shared" ca="1" si="21"/>
        <v>8.095340810023643</v>
      </c>
      <c r="T62" s="304">
        <f t="shared" ca="1" si="1"/>
        <v>79.415293346331936</v>
      </c>
      <c r="U62" s="311">
        <f t="shared" ca="1" si="2"/>
        <v>0</v>
      </c>
      <c r="V62" s="306">
        <f t="shared" ca="1" si="3"/>
        <v>1.2221608322840847</v>
      </c>
      <c r="W62" s="304">
        <f t="shared" ca="1" si="4"/>
        <v>27.335989668279598</v>
      </c>
      <c r="Y62" s="314" t="str">
        <f t="shared" ca="1" si="22"/>
        <v/>
      </c>
      <c r="Z62" s="315" t="str">
        <f t="shared" ca="1" si="23"/>
        <v/>
      </c>
      <c r="AA62" s="316" t="str">
        <f t="shared" ca="1" si="24"/>
        <v/>
      </c>
      <c r="AC62" s="310" t="e">
        <f t="shared" ca="1" si="25"/>
        <v>#N/A</v>
      </c>
      <c r="AD62" s="323" t="e">
        <f t="shared" ca="1" si="26"/>
        <v>#N/A</v>
      </c>
      <c r="AE62" s="324">
        <f t="shared" ca="1" si="5"/>
        <v>23.203768861120967</v>
      </c>
      <c r="AG62" s="306">
        <f t="shared" ca="1" si="27"/>
        <v>150.08705318598385</v>
      </c>
      <c r="AH62" s="304">
        <f t="shared" ca="1" si="28"/>
        <v>159.73042638868651</v>
      </c>
    </row>
    <row r="63" spans="1:34" x14ac:dyDescent="0.2">
      <c r="A63" s="347">
        <f t="shared" ca="1" si="6"/>
        <v>0.01</v>
      </c>
      <c r="B63" s="304">
        <f t="shared" ca="1" si="7"/>
        <v>0.5900000000000003</v>
      </c>
      <c r="D63" s="306">
        <f t="shared" ca="1" si="8"/>
        <v>29.334629082876926</v>
      </c>
      <c r="E63" s="307">
        <f t="shared" ca="1" si="9"/>
        <v>147.12644632266188</v>
      </c>
      <c r="F63" s="304">
        <f t="shared" ca="1" si="10"/>
        <v>150.02237056840914</v>
      </c>
      <c r="G63" s="306">
        <f t="shared" ca="1" si="11"/>
        <v>15.721164170061964</v>
      </c>
      <c r="H63" s="307">
        <f t="shared" ca="1" si="12"/>
        <v>84.008081466764835</v>
      </c>
      <c r="I63" s="304">
        <f t="shared" ca="1" si="13"/>
        <v>85.466442271739837</v>
      </c>
      <c r="J63" s="306">
        <f t="shared" ca="1" si="14"/>
        <v>4.376393133111816</v>
      </c>
      <c r="K63" s="307">
        <f t="shared" ca="1" si="15"/>
        <v>24.036493353472483</v>
      </c>
      <c r="L63" s="304">
        <f t="shared" ca="1" si="0"/>
        <v>24.431656300526885</v>
      </c>
      <c r="M63" s="306">
        <f t="shared" ca="1" si="16"/>
        <v>1.3857974173900725</v>
      </c>
      <c r="N63" s="304">
        <f t="shared" ca="1" si="17"/>
        <v>79.4003432765805</v>
      </c>
      <c r="P63" s="310">
        <f t="shared" ca="1" si="18"/>
        <v>7</v>
      </c>
      <c r="Q63" s="304">
        <f t="shared" ca="1" si="19"/>
        <v>1318.759125</v>
      </c>
      <c r="R63" s="306">
        <f t="shared" ca="1" si="20"/>
        <v>0.64808010114786352</v>
      </c>
      <c r="S63" s="307">
        <f t="shared" ca="1" si="21"/>
        <v>8.0888600090121638</v>
      </c>
      <c r="T63" s="304">
        <f t="shared" ca="1" si="1"/>
        <v>79.351716688409326</v>
      </c>
      <c r="U63" s="311">
        <f t="shared" ca="1" si="2"/>
        <v>0</v>
      </c>
      <c r="V63" s="306">
        <f t="shared" ca="1" si="3"/>
        <v>1.222059064053566</v>
      </c>
      <c r="W63" s="304">
        <f t="shared" ca="1" si="4"/>
        <v>28.319109835593391</v>
      </c>
      <c r="Y63" s="314" t="str">
        <f t="shared" ca="1" si="22"/>
        <v/>
      </c>
      <c r="Z63" s="315" t="str">
        <f t="shared" ca="1" si="23"/>
        <v/>
      </c>
      <c r="AA63" s="316" t="str">
        <f t="shared" ca="1" si="24"/>
        <v/>
      </c>
      <c r="AC63" s="310" t="e">
        <f t="shared" ca="1" si="25"/>
        <v>#N/A</v>
      </c>
      <c r="AD63" s="323" t="e">
        <f t="shared" ca="1" si="26"/>
        <v>#N/A</v>
      </c>
      <c r="AE63" s="324">
        <f t="shared" ca="1" si="5"/>
        <v>24.036493353472483</v>
      </c>
      <c r="AG63" s="306">
        <f t="shared" ca="1" si="27"/>
        <v>150.01154211616563</v>
      </c>
      <c r="AH63" s="304">
        <f t="shared" ca="1" si="28"/>
        <v>159.65452905513109</v>
      </c>
    </row>
    <row r="64" spans="1:34" x14ac:dyDescent="0.2">
      <c r="A64" s="347">
        <f t="shared" ca="1" si="6"/>
        <v>0.01</v>
      </c>
      <c r="B64" s="304">
        <f t="shared" ca="1" si="7"/>
        <v>0.60000000000000031</v>
      </c>
      <c r="D64" s="306">
        <f t="shared" ca="1" si="8"/>
        <v>29.353348911871205</v>
      </c>
      <c r="E64" s="307">
        <f t="shared" ca="1" si="9"/>
        <v>147.04343019359425</v>
      </c>
      <c r="F64" s="304">
        <f t="shared" ca="1" si="10"/>
        <v>149.9446212954652</v>
      </c>
      <c r="G64" s="306">
        <f t="shared" ca="1" si="11"/>
        <v>16.014697659180676</v>
      </c>
      <c r="H64" s="307">
        <f t="shared" ca="1" si="12"/>
        <v>85.478515768700774</v>
      </c>
      <c r="I64" s="304">
        <f t="shared" ca="1" si="13"/>
        <v>86.965781771539284</v>
      </c>
      <c r="J64" s="306">
        <f t="shared" ca="1" si="14"/>
        <v>4.5350724422580289</v>
      </c>
      <c r="K64" s="307">
        <f t="shared" ca="1" si="15"/>
        <v>24.883926339649811</v>
      </c>
      <c r="L64" s="304">
        <f t="shared" ca="1" si="0"/>
        <v>25.293806991705416</v>
      </c>
      <c r="M64" s="306">
        <f t="shared" ca="1" si="16"/>
        <v>1.3855899214124683</v>
      </c>
      <c r="N64" s="304">
        <f t="shared" ca="1" si="17"/>
        <v>79.388454632797846</v>
      </c>
      <c r="P64" s="310">
        <f t="shared" ca="1" si="18"/>
        <v>7</v>
      </c>
      <c r="Q64" s="304">
        <f t="shared" ca="1" si="19"/>
        <v>1318.0763750000001</v>
      </c>
      <c r="R64" s="306">
        <f t="shared" ca="1" si="20"/>
        <v>0.64774457612235237</v>
      </c>
      <c r="S64" s="307">
        <f t="shared" ca="1" si="21"/>
        <v>8.0823825632509401</v>
      </c>
      <c r="T64" s="304">
        <f t="shared" ca="1" si="1"/>
        <v>79.288172945491723</v>
      </c>
      <c r="U64" s="311">
        <f t="shared" ca="1" si="2"/>
        <v>0</v>
      </c>
      <c r="V64" s="306">
        <f t="shared" ca="1" si="3"/>
        <v>1.2219555069704073</v>
      </c>
      <c r="W64" s="304">
        <f t="shared" ca="1" si="4"/>
        <v>29.318945978490934</v>
      </c>
      <c r="Y64" s="314" t="str">
        <f t="shared" ca="1" si="22"/>
        <v/>
      </c>
      <c r="Z64" s="315" t="str">
        <f t="shared" ca="1" si="23"/>
        <v/>
      </c>
      <c r="AA64" s="316" t="str">
        <f t="shared" ca="1" si="24"/>
        <v/>
      </c>
      <c r="AC64" s="310" t="e">
        <f t="shared" ca="1" si="25"/>
        <v>#N/A</v>
      </c>
      <c r="AD64" s="323" t="e">
        <f t="shared" ca="1" si="26"/>
        <v>#N/A</v>
      </c>
      <c r="AE64" s="324">
        <f t="shared" ca="1" si="5"/>
        <v>24.883926339649811</v>
      </c>
      <c r="AG64" s="306">
        <f t="shared" ca="1" si="27"/>
        <v>149.93376276618227</v>
      </c>
      <c r="AH64" s="304">
        <f t="shared" ca="1" si="28"/>
        <v>159.57636935285498</v>
      </c>
    </row>
    <row r="65" spans="1:34" x14ac:dyDescent="0.2">
      <c r="A65" s="347">
        <f t="shared" ca="1" si="6"/>
        <v>0.01</v>
      </c>
      <c r="B65" s="304">
        <f t="shared" ca="1" si="7"/>
        <v>0.61000000000000032</v>
      </c>
      <c r="D65" s="306">
        <f t="shared" ca="1" si="8"/>
        <v>29.371085218038822</v>
      </c>
      <c r="E65" s="307">
        <f t="shared" ca="1" si="9"/>
        <v>146.95829025334407</v>
      </c>
      <c r="F65" s="304">
        <f t="shared" ca="1" si="10"/>
        <v>149.86460463055118</v>
      </c>
      <c r="G65" s="306">
        <f t="shared" ca="1" si="11"/>
        <v>16.308408511361066</v>
      </c>
      <c r="H65" s="307">
        <f t="shared" ca="1" si="12"/>
        <v>86.94809867123422</v>
      </c>
      <c r="I65" s="304">
        <f t="shared" ca="1" si="13"/>
        <v>88.464320778018276</v>
      </c>
      <c r="J65" s="306">
        <f t="shared" ca="1" si="14"/>
        <v>4.6966879731107376</v>
      </c>
      <c r="K65" s="307">
        <f t="shared" ca="1" si="15"/>
        <v>25.746059411849487</v>
      </c>
      <c r="L65" s="304">
        <f t="shared" ca="1" si="0"/>
        <v>26.170946737847423</v>
      </c>
      <c r="M65" s="306">
        <f t="shared" ca="1" si="16"/>
        <v>1.3853857141413766</v>
      </c>
      <c r="N65" s="304">
        <f t="shared" ca="1" si="17"/>
        <v>79.376754418018407</v>
      </c>
      <c r="P65" s="310">
        <f t="shared" ca="1" si="18"/>
        <v>7</v>
      </c>
      <c r="Q65" s="304">
        <f t="shared" ca="1" si="19"/>
        <v>1317.3936249999999</v>
      </c>
      <c r="R65" s="306">
        <f t="shared" ca="1" si="20"/>
        <v>0.64740905109684121</v>
      </c>
      <c r="S65" s="307">
        <f t="shared" ca="1" si="21"/>
        <v>8.0759084727399717</v>
      </c>
      <c r="T65" s="304">
        <f t="shared" ca="1" si="1"/>
        <v>79.224662117579129</v>
      </c>
      <c r="U65" s="311">
        <f t="shared" ca="1" si="2"/>
        <v>0</v>
      </c>
      <c r="V65" s="306">
        <f t="shared" ca="1" si="3"/>
        <v>1.2218501625171971</v>
      </c>
      <c r="W65" s="304">
        <f t="shared" ca="1" si="4"/>
        <v>30.335446757686309</v>
      </c>
      <c r="Y65" s="314" t="str">
        <f t="shared" ca="1" si="22"/>
        <v/>
      </c>
      <c r="Z65" s="315" t="str">
        <f t="shared" ca="1" si="23"/>
        <v/>
      </c>
      <c r="AA65" s="316" t="str">
        <f t="shared" ca="1" si="24"/>
        <v/>
      </c>
      <c r="AC65" s="310" t="e">
        <f t="shared" ca="1" si="25"/>
        <v>#N/A</v>
      </c>
      <c r="AD65" s="323" t="e">
        <f t="shared" ca="1" si="26"/>
        <v>#N/A</v>
      </c>
      <c r="AE65" s="324">
        <f t="shared" ca="1" si="5"/>
        <v>25.746059411849487</v>
      </c>
      <c r="AG65" s="306">
        <f t="shared" ca="1" si="27"/>
        <v>149.85371619709449</v>
      </c>
      <c r="AH65" s="304">
        <f t="shared" ca="1" si="28"/>
        <v>159.49594814866626</v>
      </c>
    </row>
    <row r="66" spans="1:34" x14ac:dyDescent="0.2">
      <c r="A66" s="347">
        <f t="shared" ca="1" si="6"/>
        <v>0.01</v>
      </c>
      <c r="B66" s="304">
        <f t="shared" ca="1" si="7"/>
        <v>0.62000000000000033</v>
      </c>
      <c r="D66" s="306">
        <f t="shared" ca="1" si="8"/>
        <v>29.387855450948685</v>
      </c>
      <c r="E66" s="307">
        <f t="shared" ca="1" si="9"/>
        <v>146.87102462021306</v>
      </c>
      <c r="F66" s="304">
        <f t="shared" ca="1" si="10"/>
        <v>149.78232179064753</v>
      </c>
      <c r="G66" s="306">
        <f t="shared" ca="1" si="11"/>
        <v>16.602287065870552</v>
      </c>
      <c r="H66" s="307">
        <f t="shared" ca="1" si="12"/>
        <v>88.416808917436356</v>
      </c>
      <c r="I66" s="304">
        <f t="shared" ca="1" si="13"/>
        <v>89.962036631903942</v>
      </c>
      <c r="J66" s="306">
        <f t="shared" ca="1" si="14"/>
        <v>4.8612414509968955</v>
      </c>
      <c r="K66" s="307">
        <f t="shared" ca="1" si="15"/>
        <v>26.62288394979284</v>
      </c>
      <c r="L66" s="304">
        <f t="shared" ca="1" si="0"/>
        <v>27.063067421285183</v>
      </c>
      <c r="M66" s="306">
        <f t="shared" ca="1" si="16"/>
        <v>1.3851846877087797</v>
      </c>
      <c r="N66" s="304">
        <f t="shared" ca="1" si="17"/>
        <v>79.365236451860028</v>
      </c>
      <c r="P66" s="310">
        <f t="shared" ca="1" si="18"/>
        <v>7</v>
      </c>
      <c r="Q66" s="304">
        <f t="shared" ca="1" si="19"/>
        <v>1316.710875</v>
      </c>
      <c r="R66" s="306">
        <f t="shared" ca="1" si="20"/>
        <v>0.64707352607133006</v>
      </c>
      <c r="S66" s="307">
        <f t="shared" ca="1" si="21"/>
        <v>8.0694377374792587</v>
      </c>
      <c r="T66" s="304">
        <f t="shared" ca="1" si="1"/>
        <v>79.161184204671528</v>
      </c>
      <c r="U66" s="311">
        <f t="shared" ca="1" si="2"/>
        <v>0</v>
      </c>
      <c r="V66" s="306">
        <f t="shared" ca="1" si="3"/>
        <v>1.2217430322099256</v>
      </c>
      <c r="W66" s="304">
        <f t="shared" ca="1" si="4"/>
        <v>31.368559675651255</v>
      </c>
      <c r="Y66" s="314" t="str">
        <f t="shared" ca="1" si="22"/>
        <v/>
      </c>
      <c r="Z66" s="315" t="str">
        <f t="shared" ca="1" si="23"/>
        <v/>
      </c>
      <c r="AA66" s="316" t="str">
        <f t="shared" ca="1" si="24"/>
        <v/>
      </c>
      <c r="AC66" s="310" t="e">
        <f t="shared" ca="1" si="25"/>
        <v>#N/A</v>
      </c>
      <c r="AD66" s="323" t="e">
        <f t="shared" ca="1" si="26"/>
        <v>#N/A</v>
      </c>
      <c r="AE66" s="324">
        <f t="shared" ca="1" si="5"/>
        <v>26.62288394979284</v>
      </c>
      <c r="AG66" s="306">
        <f t="shared" ca="1" si="27"/>
        <v>149.77140361295454</v>
      </c>
      <c r="AH66" s="304">
        <f t="shared" ca="1" si="28"/>
        <v>159.41326646187784</v>
      </c>
    </row>
    <row r="67" spans="1:34" x14ac:dyDescent="0.2">
      <c r="A67" s="347">
        <f t="shared" ca="1" si="6"/>
        <v>0.01</v>
      </c>
      <c r="B67" s="304">
        <f t="shared" ca="1" si="7"/>
        <v>0.63000000000000034</v>
      </c>
      <c r="D67" s="306">
        <f t="shared" ca="1" si="8"/>
        <v>29.403676218528542</v>
      </c>
      <c r="E67" s="307">
        <f t="shared" ca="1" si="9"/>
        <v>146.78163170526014</v>
      </c>
      <c r="F67" s="304">
        <f t="shared" ca="1" si="10"/>
        <v>149.69777413583239</v>
      </c>
      <c r="G67" s="306">
        <f t="shared" ca="1" si="11"/>
        <v>16.896323828055838</v>
      </c>
      <c r="H67" s="307">
        <f t="shared" ca="1" si="12"/>
        <v>89.884625234488951</v>
      </c>
      <c r="I67" s="304">
        <f t="shared" ca="1" si="13"/>
        <v>91.458906687359075</v>
      </c>
      <c r="J67" s="306">
        <f t="shared" ca="1" si="14"/>
        <v>5.0287345054665273</v>
      </c>
      <c r="K67" s="307">
        <f t="shared" ca="1" si="15"/>
        <v>27.514391120552467</v>
      </c>
      <c r="L67" s="304">
        <f t="shared" ca="1" si="0"/>
        <v>27.970160697808051</v>
      </c>
      <c r="M67" s="306">
        <f t="shared" ca="1" si="16"/>
        <v>1.3849867394687145</v>
      </c>
      <c r="N67" s="304">
        <f t="shared" ca="1" si="17"/>
        <v>79.353894853142265</v>
      </c>
      <c r="P67" s="310">
        <f t="shared" ca="1" si="18"/>
        <v>7</v>
      </c>
      <c r="Q67" s="304">
        <f t="shared" ca="1" si="19"/>
        <v>1316.028125</v>
      </c>
      <c r="R67" s="306">
        <f t="shared" ca="1" si="20"/>
        <v>0.64673800104581891</v>
      </c>
      <c r="S67" s="307">
        <f t="shared" ca="1" si="21"/>
        <v>8.0629703574688012</v>
      </c>
      <c r="T67" s="304">
        <f t="shared" ca="1" si="1"/>
        <v>79.097739206768949</v>
      </c>
      <c r="U67" s="311">
        <f t="shared" ca="1" si="2"/>
        <v>0</v>
      </c>
      <c r="V67" s="306">
        <f t="shared" ca="1" si="3"/>
        <v>1.2216341175979761</v>
      </c>
      <c r="W67" s="304">
        <f t="shared" ca="1" si="4"/>
        <v>32.418231081189703</v>
      </c>
      <c r="Y67" s="314" t="str">
        <f t="shared" ca="1" si="22"/>
        <v/>
      </c>
      <c r="Z67" s="315" t="str">
        <f t="shared" ca="1" si="23"/>
        <v/>
      </c>
      <c r="AA67" s="316" t="str">
        <f t="shared" ca="1" si="24"/>
        <v/>
      </c>
      <c r="AC67" s="310" t="e">
        <f t="shared" ca="1" si="25"/>
        <v>#N/A</v>
      </c>
      <c r="AD67" s="323" t="e">
        <f t="shared" ca="1" si="26"/>
        <v>#N/A</v>
      </c>
      <c r="AE67" s="324">
        <f t="shared" ca="1" si="5"/>
        <v>27.514391120552467</v>
      </c>
      <c r="AG67" s="306">
        <f t="shared" ca="1" si="27"/>
        <v>149.68682636148574</v>
      </c>
      <c r="AH67" s="304">
        <f t="shared" ca="1" si="28"/>
        <v>159.32832546436899</v>
      </c>
    </row>
    <row r="68" spans="1:34" x14ac:dyDescent="0.2">
      <c r="A68" s="347">
        <f t="shared" ca="1" si="6"/>
        <v>0.01</v>
      </c>
      <c r="B68" s="304">
        <f t="shared" ca="1" si="7"/>
        <v>0.64000000000000035</v>
      </c>
      <c r="D68" s="306">
        <f t="shared" ca="1" si="8"/>
        <v>29.418563344065454</v>
      </c>
      <c r="E68" s="307">
        <f t="shared" ca="1" si="9"/>
        <v>146.69011020312342</v>
      </c>
      <c r="F68" s="304">
        <f t="shared" ca="1" si="10"/>
        <v>149.61096316992712</v>
      </c>
      <c r="G68" s="306">
        <f t="shared" ca="1" si="11"/>
        <v>17.190509461496493</v>
      </c>
      <c r="H68" s="307">
        <f t="shared" ca="1" si="12"/>
        <v>91.35152633652018</v>
      </c>
      <c r="I68" s="304">
        <f t="shared" ca="1" si="13"/>
        <v>92.954908313427651</v>
      </c>
      <c r="J68" s="306">
        <f t="shared" ca="1" si="14"/>
        <v>5.1991686719142889</v>
      </c>
      <c r="K68" s="307">
        <f t="shared" ca="1" si="15"/>
        <v>28.420571878407515</v>
      </c>
      <c r="L68" s="304">
        <f t="shared" ref="L68:L131" ca="1" si="29">SQRT(pos_x^2+pos_z^2)</f>
        <v>28.892217996802238</v>
      </c>
      <c r="M68" s="306">
        <f t="shared" ca="1" si="16"/>
        <v>1.3847917716637277</v>
      </c>
      <c r="N68" s="304">
        <f t="shared" ca="1" si="17"/>
        <v>79.342724020775577</v>
      </c>
      <c r="P68" s="310">
        <f t="shared" ca="1" si="18"/>
        <v>7</v>
      </c>
      <c r="Q68" s="304">
        <f t="shared" ca="1" si="19"/>
        <v>1315.3453749999999</v>
      </c>
      <c r="R68" s="306">
        <f t="shared" ca="1" si="20"/>
        <v>0.64640247602030765</v>
      </c>
      <c r="S68" s="307">
        <f t="shared" ca="1" si="21"/>
        <v>8.0565063327085973</v>
      </c>
      <c r="T68" s="304">
        <f t="shared" ref="T68:T131" ca="1" si="30">m*g</f>
        <v>79.03432712387135</v>
      </c>
      <c r="U68" s="311">
        <f t="shared" ref="U68:U131" ca="1" si="31">IF(pos_xz&lt;L_rampe,Poids*COS(Beta),0)</f>
        <v>0</v>
      </c>
      <c r="V68" s="306">
        <f t="shared" ref="V68:V131" ca="1" si="32">Rho_moyen*(20000-Alt_rampe-pos_z)/(20000+Alt_rampe+pos_z)</f>
        <v>1.221523420264109</v>
      </c>
      <c r="W68" s="304">
        <f t="shared" ref="W68:W131" ca="1" si="33">1/2*Rho*Sref*Cx*vit_xz^2</f>
        <v>33.484406174181778</v>
      </c>
      <c r="Y68" s="314" t="str">
        <f t="shared" ca="1" si="22"/>
        <v/>
      </c>
      <c r="Z68" s="315" t="str">
        <f t="shared" ca="1" si="23"/>
        <v/>
      </c>
      <c r="AA68" s="316" t="str">
        <f t="shared" ca="1" si="24"/>
        <v/>
      </c>
      <c r="AC68" s="310" t="e">
        <f t="shared" ca="1" si="25"/>
        <v>#N/A</v>
      </c>
      <c r="AD68" s="323" t="e">
        <f t="shared" ca="1" si="26"/>
        <v>#N/A</v>
      </c>
      <c r="AE68" s="324">
        <f t="shared" ref="AE68:AE131" ca="1" si="34">IF(t&lt;T_para, pos_z, NA())</f>
        <v>28.420571878407515</v>
      </c>
      <c r="AG68" s="306">
        <f t="shared" ca="1" si="27"/>
        <v>149.59998593469101</v>
      </c>
      <c r="AH68" s="304">
        <f t="shared" ca="1" si="28"/>
        <v>159.2411264806255</v>
      </c>
    </row>
    <row r="69" spans="1:34" x14ac:dyDescent="0.2">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29.432531918627241</v>
      </c>
      <c r="E69" s="307">
        <f t="shared" ref="E69:E132" ca="1" si="38">IF(AND(L68&lt;L_rampe,Poussee&lt;Poids*SIN(M68)),0,(-W68+Poussee)/m*SIN(M68)+U68/m*COS(M68)-Poids/m)</f>
        <v>146.596459083551</v>
      </c>
      <c r="F69" s="304">
        <f t="shared" ref="F69:F132" ca="1" si="39">SQRT(acc_x^2+acc_z^2)</f>
        <v>149.5218905410718</v>
      </c>
      <c r="G69" s="306">
        <f t="shared" ref="G69:G132" ca="1" si="40">G68+acc_x*pas</f>
        <v>17.484834780682764</v>
      </c>
      <c r="H69" s="307">
        <f t="shared" ref="H69:H132" ca="1" si="41">H68+acc_z*pas</f>
        <v>92.817490927355692</v>
      </c>
      <c r="I69" s="304">
        <f t="shared" ref="I69:I132" ca="1" si="42">SQRT(vit_x^2+vit_z^2)</f>
        <v>94.4500188954853</v>
      </c>
      <c r="J69" s="306">
        <f t="shared" ref="J69:J132" ca="1" si="43">J68+0.5*(vit_x+G68)*pas*(K68&gt;=0)</f>
        <v>5.3725453931251854</v>
      </c>
      <c r="K69" s="307">
        <f t="shared" ref="K69:K132" ca="1" si="44">K68+0.5*(vit_z+H68)*pas</f>
        <v>29.341416964726893</v>
      </c>
      <c r="L69" s="304">
        <f t="shared" ca="1" si="29"/>
        <v>29.82923052140557</v>
      </c>
      <c r="M69" s="306">
        <f t="shared" ref="M69:M132" ca="1" si="45">IF(AND(L68&gt;L_rampe,G69&gt;0),ATAN2(G69,H69),$M$4)</f>
        <v>1.3845996911176248</v>
      </c>
      <c r="N69" s="304">
        <f t="shared" ref="N69:N132" ca="1" si="46">DEGREES(Beta)</f>
        <v>79.331718616157318</v>
      </c>
      <c r="P69" s="310">
        <f t="shared" ref="P69:P132" ca="1" si="47">MATCH(t-pas/2-T_ini,CdP_t)</f>
        <v>7</v>
      </c>
      <c r="Q69" s="304">
        <f t="shared" ref="Q69:Q132" ca="1" si="48">(INDEX(CdP,2,i_P+1)-INDEX(CdP,2,i_P+0))/(INDEX(CdP,1,i_P+1)-INDEX(CdP,1,i_P+0))*(t-pas/2-T_ini-INDEX(CdP,1,i_P+0))+INDEX(CdP,2,i_P+0)</f>
        <v>1314.6626249999999</v>
      </c>
      <c r="R69" s="306">
        <f t="shared" ref="R69:R132" ca="1" si="49">Poussee/(g*ISP)</f>
        <v>0.6460669509947965</v>
      </c>
      <c r="S69" s="307">
        <f t="shared" ref="S69:S132" ca="1" si="50">S68-Débit*pas</f>
        <v>8.0500456631986488</v>
      </c>
      <c r="T69" s="304">
        <f t="shared" ca="1" si="30"/>
        <v>78.970947955978744</v>
      </c>
      <c r="U69" s="311">
        <f t="shared" ca="1" si="31"/>
        <v>0</v>
      </c>
      <c r="V69" s="306">
        <f t="shared" ca="1" si="32"/>
        <v>1.2214109418244432</v>
      </c>
      <c r="W69" s="304">
        <f t="shared" ca="1" si="33"/>
        <v>34.56702901049664</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29.341416964726893</v>
      </c>
      <c r="AG69" s="306">
        <f t="shared" ref="AG69:AG132" ca="1" si="56">IF(AND(L68&lt;L_rampe,Poussee&lt;Poids*SIN(M68)),0,(-W68+Poussee)/m-Poids*SIN(M68)/m)</f>
        <v>149.51088396939434</v>
      </c>
      <c r="AH69" s="304">
        <f t="shared" ref="AH69:AH132" ca="1" si="57">IF(AND(L68&lt;L_rampe,Poussee&lt;Poids*SIN(M68)), g*SIN(M68), (-W68+Poussee)/m)</f>
        <v>159.15167098775785</v>
      </c>
    </row>
    <row r="70" spans="1:34" x14ac:dyDescent="0.2">
      <c r="A70" s="347">
        <f t="shared" ca="1" si="35"/>
        <v>0.01</v>
      </c>
      <c r="B70" s="304">
        <f t="shared" ca="1" si="36"/>
        <v>0.66000000000000036</v>
      </c>
      <c r="D70" s="306">
        <f t="shared" ca="1" si="37"/>
        <v>29.445596349338729</v>
      </c>
      <c r="E70" s="307">
        <f t="shared" ca="1" si="38"/>
        <v>146.50067758357187</v>
      </c>
      <c r="F70" s="304">
        <f t="shared" ca="1" si="39"/>
        <v>149.43055804223536</v>
      </c>
      <c r="G70" s="306">
        <f t="shared" ca="1" si="40"/>
        <v>17.779290744176151</v>
      </c>
      <c r="H70" s="307">
        <f t="shared" ca="1" si="41"/>
        <v>94.28249770319141</v>
      </c>
      <c r="I70" s="304">
        <f t="shared" ca="1" si="42"/>
        <v>95.94421583669461</v>
      </c>
      <c r="J70" s="306">
        <f t="shared" ca="1" si="43"/>
        <v>5.5488660207494798</v>
      </c>
      <c r="K70" s="307">
        <f t="shared" ca="1" si="44"/>
        <v>30.276916907879627</v>
      </c>
      <c r="L70" s="304">
        <f t="shared" ca="1" si="29"/>
        <v>30.781189248677112</v>
      </c>
      <c r="M70" s="306">
        <f t="shared" ca="1" si="45"/>
        <v>1.3844104089520564</v>
      </c>
      <c r="N70" s="304">
        <f t="shared" ca="1" si="46"/>
        <v>79.320873546933157</v>
      </c>
      <c r="P70" s="310">
        <f t="shared" ca="1" si="47"/>
        <v>7</v>
      </c>
      <c r="Q70" s="304">
        <f t="shared" ca="1" si="48"/>
        <v>1313.979875</v>
      </c>
      <c r="R70" s="306">
        <f t="shared" ca="1" si="49"/>
        <v>0.64573142596928534</v>
      </c>
      <c r="S70" s="307">
        <f t="shared" ca="1" si="50"/>
        <v>8.0435883489389557</v>
      </c>
      <c r="T70" s="304">
        <f t="shared" ca="1" si="30"/>
        <v>78.90760170309116</v>
      </c>
      <c r="U70" s="311">
        <f t="shared" ca="1" si="31"/>
        <v>0</v>
      </c>
      <c r="V70" s="306">
        <f t="shared" ca="1" si="32"/>
        <v>1.2212966839284343</v>
      </c>
      <c r="W70" s="304">
        <f t="shared" ca="1" si="33"/>
        <v>35.666042507073705</v>
      </c>
      <c r="Y70" s="314" t="str">
        <f t="shared" ca="1" si="51"/>
        <v/>
      </c>
      <c r="Z70" s="315" t="str">
        <f t="shared" ca="1" si="52"/>
        <v/>
      </c>
      <c r="AA70" s="316" t="str">
        <f t="shared" ca="1" si="53"/>
        <v/>
      </c>
      <c r="AC70" s="310" t="e">
        <f t="shared" ca="1" si="54"/>
        <v>#N/A</v>
      </c>
      <c r="AD70" s="323" t="e">
        <f t="shared" ca="1" si="55"/>
        <v>#N/A</v>
      </c>
      <c r="AE70" s="324">
        <f t="shared" ca="1" si="34"/>
        <v>30.276916907879627</v>
      </c>
      <c r="AG70" s="306">
        <f t="shared" ca="1" si="56"/>
        <v>149.41952224771964</v>
      </c>
      <c r="AH70" s="304">
        <f t="shared" ca="1" si="57"/>
        <v>159.05996061549729</v>
      </c>
    </row>
    <row r="71" spans="1:34" x14ac:dyDescent="0.2">
      <c r="A71" s="347">
        <f t="shared" ca="1" si="35"/>
        <v>0.01</v>
      </c>
      <c r="B71" s="304">
        <f t="shared" ca="1" si="36"/>
        <v>0.67000000000000037</v>
      </c>
      <c r="D71" s="306">
        <f t="shared" ca="1" si="37"/>
        <v>29.457770403900721</v>
      </c>
      <c r="E71" s="307">
        <f t="shared" ca="1" si="38"/>
        <v>146.40276520024679</v>
      </c>
      <c r="F71" s="304">
        <f t="shared" ca="1" si="39"/>
        <v>149.33696761166513</v>
      </c>
      <c r="G71" s="306">
        <f t="shared" ca="1" si="40"/>
        <v>18.073868448215158</v>
      </c>
      <c r="H71" s="307">
        <f t="shared" ca="1" si="41"/>
        <v>95.746525355193882</v>
      </c>
      <c r="I71" s="304">
        <f t="shared" ca="1" si="42"/>
        <v>97.4374765594644</v>
      </c>
      <c r="J71" s="306">
        <f t="shared" ca="1" si="43"/>
        <v>5.7281318167114366</v>
      </c>
      <c r="K71" s="307">
        <f t="shared" ca="1" si="44"/>
        <v>31.227062023171555</v>
      </c>
      <c r="L71" s="304">
        <f t="shared" ca="1" si="29"/>
        <v>31.748084929781594</v>
      </c>
      <c r="M71" s="306">
        <f t="shared" ca="1" si="45"/>
        <v>1.3842238403247549</v>
      </c>
      <c r="N71" s="304">
        <f t="shared" ca="1" si="46"/>
        <v>79.310183951999221</v>
      </c>
      <c r="P71" s="310">
        <f t="shared" ca="1" si="47"/>
        <v>7</v>
      </c>
      <c r="Q71" s="304">
        <f t="shared" ca="1" si="48"/>
        <v>1313.2971250000001</v>
      </c>
      <c r="R71" s="306">
        <f t="shared" ca="1" si="49"/>
        <v>0.6453959009437743</v>
      </c>
      <c r="S71" s="307">
        <f t="shared" ca="1" si="50"/>
        <v>8.037134389929518</v>
      </c>
      <c r="T71" s="304">
        <f t="shared" ca="1" si="30"/>
        <v>78.84428836520857</v>
      </c>
      <c r="U71" s="311">
        <f t="shared" ca="1" si="31"/>
        <v>0</v>
      </c>
      <c r="V71" s="306">
        <f t="shared" ca="1" si="32"/>
        <v>1.221180648258847</v>
      </c>
      <c r="W71" s="304">
        <f t="shared" ca="1" si="33"/>
        <v>36.781388447171494</v>
      </c>
      <c r="Y71" s="314" t="str">
        <f t="shared" ca="1" si="51"/>
        <v/>
      </c>
      <c r="Z71" s="315" t="str">
        <f t="shared" ca="1" si="52"/>
        <v/>
      </c>
      <c r="AA71" s="316" t="str">
        <f t="shared" ca="1" si="53"/>
        <v/>
      </c>
      <c r="AC71" s="310" t="e">
        <f t="shared" ca="1" si="54"/>
        <v>#N/A</v>
      </c>
      <c r="AD71" s="323" t="e">
        <f t="shared" ca="1" si="55"/>
        <v>#N/A</v>
      </c>
      <c r="AE71" s="324">
        <f t="shared" ca="1" si="34"/>
        <v>31.227062023171555</v>
      </c>
      <c r="AG71" s="306">
        <f t="shared" ca="1" si="56"/>
        <v>149.32590269751125</v>
      </c>
      <c r="AH71" s="304">
        <f t="shared" ca="1" si="57"/>
        <v>158.96599714617074</v>
      </c>
    </row>
    <row r="72" spans="1:34" x14ac:dyDescent="0.2">
      <c r="A72" s="347">
        <f t="shared" ca="1" si="35"/>
        <v>0.01</v>
      </c>
      <c r="B72" s="304">
        <f t="shared" ca="1" si="36"/>
        <v>0.68000000000000038</v>
      </c>
      <c r="D72" s="306">
        <f t="shared" ca="1" si="37"/>
        <v>29.469067251695733</v>
      </c>
      <c r="E72" s="307">
        <f t="shared" ca="1" si="38"/>
        <v>146.30272168394239</v>
      </c>
      <c r="F72" s="304">
        <f t="shared" ca="1" si="39"/>
        <v>149.24112133327756</v>
      </c>
      <c r="G72" s="306">
        <f t="shared" ca="1" si="40"/>
        <v>18.368559120732115</v>
      </c>
      <c r="H72" s="307">
        <f t="shared" ca="1" si="41"/>
        <v>97.209552572033303</v>
      </c>
      <c r="I72" s="304">
        <f t="shared" ca="1" si="42"/>
        <v>98.929778506912356</v>
      </c>
      <c r="J72" s="306">
        <f t="shared" ca="1" si="43"/>
        <v>5.9103439545561729</v>
      </c>
      <c r="K72" s="307">
        <f t="shared" ca="1" si="44"/>
        <v>32.191842412807688</v>
      </c>
      <c r="L72" s="304">
        <f t="shared" ca="1" si="29"/>
        <v>32.729908090188744</v>
      </c>
      <c r="M72" s="306">
        <f t="shared" ca="1" si="45"/>
        <v>1.3840399041874603</v>
      </c>
      <c r="N72" s="304">
        <f t="shared" ca="1" si="46"/>
        <v>79.299645187632308</v>
      </c>
      <c r="P72" s="310">
        <f t="shared" ca="1" si="47"/>
        <v>7</v>
      </c>
      <c r="Q72" s="304">
        <f t="shared" ca="1" si="48"/>
        <v>1312.6143749999999</v>
      </c>
      <c r="R72" s="306">
        <f t="shared" ca="1" si="49"/>
        <v>0.64506037591826304</v>
      </c>
      <c r="S72" s="307">
        <f t="shared" ca="1" si="50"/>
        <v>8.0306837861703357</v>
      </c>
      <c r="T72" s="304">
        <f t="shared" ca="1" si="30"/>
        <v>78.781007942331001</v>
      </c>
      <c r="U72" s="311">
        <f t="shared" ca="1" si="31"/>
        <v>0</v>
      </c>
      <c r="V72" s="306">
        <f t="shared" ca="1" si="32"/>
        <v>1.2210628365317271</v>
      </c>
      <c r="W72" s="304">
        <f t="shared" ca="1" si="33"/>
        <v>37.913007485783119</v>
      </c>
      <c r="Y72" s="314" t="str">
        <f t="shared" ca="1" si="51"/>
        <v/>
      </c>
      <c r="Z72" s="315" t="str">
        <f t="shared" ca="1" si="52"/>
        <v/>
      </c>
      <c r="AA72" s="316" t="str">
        <f t="shared" ca="1" si="53"/>
        <v/>
      </c>
      <c r="AC72" s="310" t="e">
        <f t="shared" ca="1" si="54"/>
        <v>#N/A</v>
      </c>
      <c r="AD72" s="323" t="e">
        <f t="shared" ca="1" si="55"/>
        <v>#N/A</v>
      </c>
      <c r="AE72" s="324">
        <f t="shared" ca="1" si="34"/>
        <v>32.191842412807688</v>
      </c>
      <c r="AG72" s="306">
        <f t="shared" ca="1" si="56"/>
        <v>149.23002739269779</v>
      </c>
      <c r="AH72" s="304">
        <f t="shared" ca="1" si="57"/>
        <v>158.86978251465263</v>
      </c>
    </row>
    <row r="73" spans="1:34" x14ac:dyDescent="0.2">
      <c r="A73" s="347">
        <f t="shared" ca="1" si="35"/>
        <v>0.01</v>
      </c>
      <c r="B73" s="304">
        <f t="shared" ca="1" si="36"/>
        <v>0.69000000000000039</v>
      </c>
      <c r="D73" s="306">
        <f t="shared" ca="1" si="37"/>
        <v>29.479499501790738</v>
      </c>
      <c r="E73" s="307">
        <f t="shared" ca="1" si="38"/>
        <v>146.20054703208206</v>
      </c>
      <c r="F73" s="304">
        <f t="shared" ca="1" si="39"/>
        <v>149.14302143699555</v>
      </c>
      <c r="G73" s="306">
        <f t="shared" ca="1" si="40"/>
        <v>18.663354115750021</v>
      </c>
      <c r="H73" s="307">
        <f t="shared" ca="1" si="41"/>
        <v>98.671558042354121</v>
      </c>
      <c r="I73" s="304">
        <f t="shared" ca="1" si="42"/>
        <v>100.42109914433092</v>
      </c>
      <c r="J73" s="306">
        <f t="shared" ca="1" si="43"/>
        <v>6.0955035207385837</v>
      </c>
      <c r="K73" s="307">
        <f t="shared" ca="1" si="44"/>
        <v>33.171247965879623</v>
      </c>
      <c r="L73" s="304">
        <f t="shared" ca="1" si="29"/>
        <v>33.726649029887469</v>
      </c>
      <c r="M73" s="306">
        <f t="shared" ca="1" si="45"/>
        <v>1.383858523061783</v>
      </c>
      <c r="N73" s="304">
        <f t="shared" ca="1" si="46"/>
        <v>79.289252814647668</v>
      </c>
      <c r="P73" s="310">
        <f t="shared" ca="1" si="47"/>
        <v>7</v>
      </c>
      <c r="Q73" s="304">
        <f t="shared" ca="1" si="48"/>
        <v>1311.9316249999999</v>
      </c>
      <c r="R73" s="306">
        <f t="shared" ca="1" si="49"/>
        <v>0.64472485089275189</v>
      </c>
      <c r="S73" s="307">
        <f t="shared" ca="1" si="50"/>
        <v>8.0242365376614089</v>
      </c>
      <c r="T73" s="304">
        <f t="shared" ca="1" si="30"/>
        <v>78.717760434458427</v>
      </c>
      <c r="U73" s="311">
        <f t="shared" ca="1" si="31"/>
        <v>0</v>
      </c>
      <c r="V73" s="306">
        <f t="shared" ca="1" si="32"/>
        <v>1.220943250496366</v>
      </c>
      <c r="W73" s="304">
        <f t="shared" ca="1" si="33"/>
        <v>39.060839155218176</v>
      </c>
      <c r="Y73" s="314" t="str">
        <f t="shared" ca="1" si="51"/>
        <v/>
      </c>
      <c r="Z73" s="315" t="str">
        <f t="shared" ca="1" si="52"/>
        <v/>
      </c>
      <c r="AA73" s="316" t="str">
        <f t="shared" ca="1" si="53"/>
        <v/>
      </c>
      <c r="AC73" s="310" t="e">
        <f t="shared" ca="1" si="54"/>
        <v>#N/A</v>
      </c>
      <c r="AD73" s="323" t="e">
        <f t="shared" ca="1" si="55"/>
        <v>#N/A</v>
      </c>
      <c r="AE73" s="324">
        <f t="shared" ca="1" si="34"/>
        <v>33.171247965879623</v>
      </c>
      <c r="AG73" s="306">
        <f t="shared" ca="1" si="56"/>
        <v>149.1318985536048</v>
      </c>
      <c r="AH73" s="304">
        <f t="shared" ca="1" si="57"/>
        <v>158.771318808296</v>
      </c>
    </row>
    <row r="74" spans="1:34" x14ac:dyDescent="0.2">
      <c r="A74" s="347">
        <f t="shared" ca="1" si="35"/>
        <v>0.01</v>
      </c>
      <c r="B74" s="304">
        <f t="shared" ca="1" si="36"/>
        <v>0.7000000000000004</v>
      </c>
      <c r="D74" s="306">
        <f t="shared" ca="1" si="37"/>
        <v>29.489079238112218</v>
      </c>
      <c r="E74" s="307">
        <f t="shared" ca="1" si="38"/>
        <v>146.09624148332708</v>
      </c>
      <c r="F74" s="304">
        <f t="shared" ca="1" si="39"/>
        <v>149.04267029903309</v>
      </c>
      <c r="G74" s="306">
        <f t="shared" ca="1" si="40"/>
        <v>18.958244908131142</v>
      </c>
      <c r="H74" s="307">
        <f t="shared" ca="1" si="41"/>
        <v>100.1325204571874</v>
      </c>
      <c r="I74" s="304">
        <f t="shared" ca="1" si="42"/>
        <v>101.91141596065542</v>
      </c>
      <c r="J74" s="306">
        <f t="shared" ca="1" si="43"/>
        <v>6.2836115158579897</v>
      </c>
      <c r="K74" s="307">
        <f t="shared" ca="1" si="44"/>
        <v>34.165268358377332</v>
      </c>
      <c r="L74" s="304">
        <f t="shared" ca="1" si="29"/>
        <v>34.738297823614822</v>
      </c>
      <c r="M74" s="306">
        <f t="shared" ca="1" si="45"/>
        <v>1.3836796228314281</v>
      </c>
      <c r="N74" s="304">
        <f t="shared" ca="1" si="46"/>
        <v>79.279002586494414</v>
      </c>
      <c r="P74" s="310">
        <f t="shared" ca="1" si="47"/>
        <v>7</v>
      </c>
      <c r="Q74" s="304">
        <f t="shared" ca="1" si="48"/>
        <v>1311.248875</v>
      </c>
      <c r="R74" s="306">
        <f t="shared" ca="1" si="49"/>
        <v>0.64438932586724074</v>
      </c>
      <c r="S74" s="307">
        <f t="shared" ca="1" si="50"/>
        <v>8.0177926444027356</v>
      </c>
      <c r="T74" s="304">
        <f t="shared" ca="1" si="30"/>
        <v>78.654545841590846</v>
      </c>
      <c r="U74" s="311">
        <f t="shared" ca="1" si="31"/>
        <v>0</v>
      </c>
      <c r="V74" s="306">
        <f t="shared" ca="1" si="32"/>
        <v>1.2208218919352618</v>
      </c>
      <c r="W74" s="304">
        <f t="shared" ca="1" si="33"/>
        <v>40.224821870849411</v>
      </c>
      <c r="Y74" s="314" t="str">
        <f t="shared" ca="1" si="51"/>
        <v/>
      </c>
      <c r="Z74" s="315" t="str">
        <f t="shared" ca="1" si="52"/>
        <v/>
      </c>
      <c r="AA74" s="316" t="str">
        <f t="shared" ca="1" si="53"/>
        <v/>
      </c>
      <c r="AC74" s="310" t="e">
        <f t="shared" ca="1" si="54"/>
        <v>#N/A</v>
      </c>
      <c r="AD74" s="323" t="e">
        <f t="shared" ca="1" si="55"/>
        <v>#N/A</v>
      </c>
      <c r="AE74" s="324">
        <f t="shared" ca="1" si="34"/>
        <v>34.165268358377332</v>
      </c>
      <c r="AG74" s="306">
        <f t="shared" ca="1" si="56"/>
        <v>149.03151854721619</v>
      </c>
      <c r="AH74" s="304">
        <f t="shared" ca="1" si="57"/>
        <v>158.6706082668405</v>
      </c>
    </row>
    <row r="75" spans="1:34" x14ac:dyDescent="0.2">
      <c r="A75" s="347">
        <f t="shared" ca="1" si="35"/>
        <v>0.01</v>
      </c>
      <c r="B75" s="304">
        <f t="shared" ca="1" si="36"/>
        <v>0.71000000000000041</v>
      </c>
      <c r="D75" s="306">
        <f t="shared" ca="1" si="37"/>
        <v>29.497818052042671</v>
      </c>
      <c r="E75" s="307">
        <f t="shared" ca="1" si="38"/>
        <v>145.98980551215072</v>
      </c>
      <c r="F75" s="304">
        <f t="shared" ca="1" si="39"/>
        <v>148.94007044213123</v>
      </c>
      <c r="G75" s="306">
        <f t="shared" ca="1" si="40"/>
        <v>19.25322308865157</v>
      </c>
      <c r="H75" s="307">
        <f t="shared" ca="1" si="41"/>
        <v>101.59241851230891</v>
      </c>
      <c r="I75" s="304">
        <f t="shared" ca="1" si="42"/>
        <v>103.40070646993429</v>
      </c>
      <c r="J75" s="306">
        <f t="shared" ca="1" si="43"/>
        <v>6.4746688558419034</v>
      </c>
      <c r="K75" s="307">
        <f t="shared" ca="1" si="44"/>
        <v>35.173893053224816</v>
      </c>
      <c r="L75" s="304">
        <f t="shared" ca="1" si="29"/>
        <v>35.764844321099822</v>
      </c>
      <c r="M75" s="306">
        <f t="shared" ca="1" si="45"/>
        <v>1.3835031325493641</v>
      </c>
      <c r="N75" s="304">
        <f t="shared" ca="1" si="46"/>
        <v>79.268890438207066</v>
      </c>
      <c r="P75" s="310">
        <f t="shared" ca="1" si="47"/>
        <v>7</v>
      </c>
      <c r="Q75" s="304">
        <f t="shared" ca="1" si="48"/>
        <v>1310.5661249999998</v>
      </c>
      <c r="R75" s="306">
        <f t="shared" ca="1" si="49"/>
        <v>0.64405380084172947</v>
      </c>
      <c r="S75" s="307">
        <f t="shared" ca="1" si="50"/>
        <v>8.0113521063943178</v>
      </c>
      <c r="T75" s="304">
        <f t="shared" ca="1" si="30"/>
        <v>78.591364163728258</v>
      </c>
      <c r="U75" s="311">
        <f t="shared" ca="1" si="31"/>
        <v>0</v>
      </c>
      <c r="V75" s="306">
        <f t="shared" ca="1" si="32"/>
        <v>1.2206987626640824</v>
      </c>
      <c r="W75" s="304">
        <f t="shared" ca="1" si="33"/>
        <v>41.404892937024144</v>
      </c>
      <c r="Y75" s="314" t="str">
        <f t="shared" ca="1" si="51"/>
        <v/>
      </c>
      <c r="Z75" s="315" t="str">
        <f t="shared" ca="1" si="52"/>
        <v/>
      </c>
      <c r="AA75" s="316" t="str">
        <f t="shared" ca="1" si="53"/>
        <v/>
      </c>
      <c r="AC75" s="310" t="e">
        <f t="shared" ca="1" si="54"/>
        <v>#N/A</v>
      </c>
      <c r="AD75" s="323" t="e">
        <f t="shared" ca="1" si="55"/>
        <v>#N/A</v>
      </c>
      <c r="AE75" s="324">
        <f t="shared" ca="1" si="34"/>
        <v>35.173893053224816</v>
      </c>
      <c r="AG75" s="306">
        <f t="shared" ca="1" si="56"/>
        <v>148.92888988738909</v>
      </c>
      <c r="AH75" s="304">
        <f t="shared" ca="1" si="57"/>
        <v>158.56765328229906</v>
      </c>
    </row>
    <row r="76" spans="1:34" x14ac:dyDescent="0.2">
      <c r="A76" s="347">
        <f t="shared" ca="1" si="35"/>
        <v>0.01</v>
      </c>
      <c r="B76" s="304">
        <f t="shared" ca="1" si="36"/>
        <v>0.72000000000000042</v>
      </c>
      <c r="D76" s="306">
        <f t="shared" ca="1" si="37"/>
        <v>29.505727072661308</v>
      </c>
      <c r="E76" s="307">
        <f t="shared" ca="1" si="38"/>
        <v>145.88123982376871</v>
      </c>
      <c r="F76" s="304">
        <f t="shared" ca="1" si="39"/>
        <v>148.83522453574724</v>
      </c>
      <c r="G76" s="306">
        <f t="shared" ca="1" si="40"/>
        <v>19.548280359378182</v>
      </c>
      <c r="H76" s="307">
        <f t="shared" ca="1" si="41"/>
        <v>103.05123091054659</v>
      </c>
      <c r="I76" s="304">
        <f t="shared" ca="1" si="42"/>
        <v>104.88894821280097</v>
      </c>
      <c r="J76" s="306">
        <f t="shared" ca="1" si="43"/>
        <v>6.668676373082052</v>
      </c>
      <c r="K76" s="307">
        <f t="shared" ca="1" si="44"/>
        <v>36.197111300339095</v>
      </c>
      <c r="L76" s="304">
        <f t="shared" ca="1" si="29"/>
        <v>36.806278147322082</v>
      </c>
      <c r="M76" s="306">
        <f t="shared" ca="1" si="45"/>
        <v>1.3833289842586649</v>
      </c>
      <c r="N76" s="304">
        <f t="shared" ca="1" si="46"/>
        <v>79.258912476140594</v>
      </c>
      <c r="P76" s="310">
        <f t="shared" ca="1" si="47"/>
        <v>7</v>
      </c>
      <c r="Q76" s="304">
        <f t="shared" ca="1" si="48"/>
        <v>1309.8833749999999</v>
      </c>
      <c r="R76" s="306">
        <f t="shared" ca="1" si="49"/>
        <v>0.64371827581621832</v>
      </c>
      <c r="S76" s="307">
        <f t="shared" ca="1" si="50"/>
        <v>8.0049149236361554</v>
      </c>
      <c r="T76" s="304">
        <f t="shared" ca="1" si="30"/>
        <v>78.528215400870693</v>
      </c>
      <c r="U76" s="311">
        <f t="shared" ca="1" si="31"/>
        <v>0</v>
      </c>
      <c r="V76" s="306">
        <f t="shared" ca="1" si="32"/>
        <v>1.2205738645316175</v>
      </c>
      <c r="W76" s="304">
        <f t="shared" ca="1" si="33"/>
        <v>42.600988553138734</v>
      </c>
      <c r="Y76" s="314" t="str">
        <f t="shared" ca="1" si="51"/>
        <v/>
      </c>
      <c r="Z76" s="315" t="str">
        <f t="shared" ca="1" si="52"/>
        <v/>
      </c>
      <c r="AA76" s="316" t="str">
        <f t="shared" ca="1" si="53"/>
        <v/>
      </c>
      <c r="AC76" s="310" t="e">
        <f t="shared" ca="1" si="54"/>
        <v>#N/A</v>
      </c>
      <c r="AD76" s="323" t="e">
        <f t="shared" ca="1" si="55"/>
        <v>#N/A</v>
      </c>
      <c r="AE76" s="324">
        <f t="shared" ca="1" si="34"/>
        <v>36.197111300339095</v>
      </c>
      <c r="AG76" s="306">
        <f t="shared" ca="1" si="56"/>
        <v>148.82401523502287</v>
      </c>
      <c r="AH76" s="304">
        <f t="shared" ca="1" si="57"/>
        <v>158.46245639882224</v>
      </c>
    </row>
    <row r="77" spans="1:34" x14ac:dyDescent="0.2">
      <c r="A77" s="347">
        <f t="shared" ca="1" si="35"/>
        <v>0.01</v>
      </c>
      <c r="B77" s="304">
        <f t="shared" ca="1" si="36"/>
        <v>0.73000000000000043</v>
      </c>
      <c r="D77" s="306">
        <f t="shared" ca="1" si="37"/>
        <v>29.512816994829755</v>
      </c>
      <c r="E77" s="307">
        <f t="shared" ca="1" si="38"/>
        <v>145.77054534939401</v>
      </c>
      <c r="F77" s="304">
        <f t="shared" ca="1" si="39"/>
        <v>148.72813539619884</v>
      </c>
      <c r="G77" s="306">
        <f t="shared" ca="1" si="40"/>
        <v>19.843408529326481</v>
      </c>
      <c r="H77" s="307">
        <f t="shared" ca="1" si="41"/>
        <v>104.50893636404054</v>
      </c>
      <c r="I77" s="304">
        <f t="shared" ca="1" si="42"/>
        <v>106.3761187579469</v>
      </c>
      <c r="J77" s="306">
        <f t="shared" ca="1" si="43"/>
        <v>6.8656348175255753</v>
      </c>
      <c r="K77" s="307">
        <f t="shared" ca="1" si="44"/>
        <v>37.234912136712033</v>
      </c>
      <c r="L77" s="304">
        <f t="shared" ca="1" si="29"/>
        <v>37.862588702785295</v>
      </c>
      <c r="M77" s="306">
        <f t="shared" ca="1" si="45"/>
        <v>1.3831571128258742</v>
      </c>
      <c r="N77" s="304">
        <f t="shared" ca="1" si="46"/>
        <v>79.249064968422815</v>
      </c>
      <c r="P77" s="310">
        <f t="shared" ca="1" si="47"/>
        <v>7</v>
      </c>
      <c r="Q77" s="304">
        <f t="shared" ca="1" si="48"/>
        <v>1309.2006249999999</v>
      </c>
      <c r="R77" s="306">
        <f t="shared" ca="1" si="49"/>
        <v>0.64338275079070717</v>
      </c>
      <c r="S77" s="307">
        <f t="shared" ca="1" si="50"/>
        <v>7.9984810961282484</v>
      </c>
      <c r="T77" s="304">
        <f t="shared" ca="1" si="30"/>
        <v>78.465099553018121</v>
      </c>
      <c r="U77" s="311">
        <f t="shared" ca="1" si="31"/>
        <v>0</v>
      </c>
      <c r="V77" s="306">
        <f t="shared" ca="1" si="32"/>
        <v>1.2204471994197319</v>
      </c>
      <c r="W77" s="304">
        <f t="shared" ca="1" si="33"/>
        <v>43.813043819875602</v>
      </c>
      <c r="Y77" s="314" t="str">
        <f t="shared" ca="1" si="51"/>
        <v/>
      </c>
      <c r="Z77" s="315" t="str">
        <f t="shared" ca="1" si="52"/>
        <v/>
      </c>
      <c r="AA77" s="316" t="str">
        <f t="shared" ca="1" si="53"/>
        <v/>
      </c>
      <c r="AC77" s="310" t="e">
        <f t="shared" ca="1" si="54"/>
        <v>#N/A</v>
      </c>
      <c r="AD77" s="323" t="e">
        <f t="shared" ca="1" si="55"/>
        <v>#N/A</v>
      </c>
      <c r="AE77" s="324">
        <f t="shared" ca="1" si="34"/>
        <v>37.234912136712033</v>
      </c>
      <c r="AG77" s="306">
        <f t="shared" ca="1" si="56"/>
        <v>148.71689739818498</v>
      </c>
      <c r="AH77" s="304">
        <f t="shared" ca="1" si="57"/>
        <v>158.35502031254066</v>
      </c>
    </row>
    <row r="78" spans="1:34" x14ac:dyDescent="0.2">
      <c r="A78" s="347">
        <f t="shared" ca="1" si="35"/>
        <v>0.01</v>
      </c>
      <c r="B78" s="304">
        <f t="shared" ca="1" si="36"/>
        <v>0.74000000000000044</v>
      </c>
      <c r="D78" s="306">
        <f t="shared" ca="1" si="37"/>
        <v>29.519098105303794</v>
      </c>
      <c r="E78" s="307">
        <f t="shared" ca="1" si="38"/>
        <v>145.65772324178801</v>
      </c>
      <c r="F78" s="304">
        <f t="shared" ca="1" si="39"/>
        <v>148.61880598676555</v>
      </c>
      <c r="G78" s="306">
        <f t="shared" ca="1" si="40"/>
        <v>20.138599510379521</v>
      </c>
      <c r="H78" s="307">
        <f t="shared" ca="1" si="41"/>
        <v>105.96551359645842</v>
      </c>
      <c r="I78" s="304">
        <f t="shared" ca="1" si="42"/>
        <v>107.86219570359521</v>
      </c>
      <c r="J78" s="306">
        <f t="shared" ca="1" si="43"/>
        <v>7.0655448577241051</v>
      </c>
      <c r="K78" s="307">
        <f t="shared" ca="1" si="44"/>
        <v>38.287284386514528</v>
      </c>
      <c r="L78" s="304">
        <f t="shared" ca="1" si="29"/>
        <v>38.933765163805447</v>
      </c>
      <c r="M78" s="306">
        <f t="shared" ca="1" si="45"/>
        <v>1.382987455785853</v>
      </c>
      <c r="N78" s="304">
        <f t="shared" ca="1" si="46"/>
        <v>79.239344336064917</v>
      </c>
      <c r="P78" s="310">
        <f t="shared" ca="1" si="47"/>
        <v>7</v>
      </c>
      <c r="Q78" s="304">
        <f t="shared" ca="1" si="48"/>
        <v>1308.517875</v>
      </c>
      <c r="R78" s="306">
        <f t="shared" ca="1" si="49"/>
        <v>0.64304722576519613</v>
      </c>
      <c r="S78" s="307">
        <f t="shared" ca="1" si="50"/>
        <v>7.9920506238705968</v>
      </c>
      <c r="T78" s="304">
        <f t="shared" ca="1" si="30"/>
        <v>78.402016620170556</v>
      </c>
      <c r="U78" s="311">
        <f t="shared" ca="1" si="31"/>
        <v>0</v>
      </c>
      <c r="V78" s="306">
        <f t="shared" ca="1" si="32"/>
        <v>1.2203187692433151</v>
      </c>
      <c r="W78" s="304">
        <f t="shared" ca="1" si="33"/>
        <v>45.040992745601585</v>
      </c>
      <c r="Y78" s="314" t="str">
        <f t="shared" ca="1" si="51"/>
        <v/>
      </c>
      <c r="Z78" s="315" t="str">
        <f t="shared" ca="1" si="52"/>
        <v/>
      </c>
      <c r="AA78" s="316" t="str">
        <f t="shared" ca="1" si="53"/>
        <v/>
      </c>
      <c r="AC78" s="310" t="e">
        <f t="shared" ca="1" si="54"/>
        <v>#N/A</v>
      </c>
      <c r="AD78" s="323" t="e">
        <f t="shared" ca="1" si="55"/>
        <v>#N/A</v>
      </c>
      <c r="AE78" s="324">
        <f t="shared" ca="1" si="34"/>
        <v>38.287284386514528</v>
      </c>
      <c r="AG78" s="306">
        <f t="shared" ca="1" si="56"/>
        <v>148.60753933219519</v>
      </c>
      <c r="AH78" s="304">
        <f t="shared" ca="1" si="57"/>
        <v>158.24534787138526</v>
      </c>
    </row>
    <row r="79" spans="1:34" x14ac:dyDescent="0.2">
      <c r="A79" s="347">
        <f t="shared" ca="1" si="35"/>
        <v>0.01</v>
      </c>
      <c r="B79" s="304">
        <f t="shared" ca="1" si="36"/>
        <v>0.75000000000000044</v>
      </c>
      <c r="D79" s="306">
        <f t="shared" ca="1" si="37"/>
        <v>29.524580307035016</v>
      </c>
      <c r="E79" s="307">
        <f t="shared" ca="1" si="38"/>
        <v>145.54277487108078</v>
      </c>
      <c r="F79" s="304">
        <f t="shared" ca="1" si="39"/>
        <v>148.50723941774913</v>
      </c>
      <c r="G79" s="306">
        <f t="shared" ca="1" si="40"/>
        <v>20.433845313449872</v>
      </c>
      <c r="H79" s="307">
        <f t="shared" ca="1" si="41"/>
        <v>107.42094134516923</v>
      </c>
      <c r="I79" s="304">
        <f t="shared" ca="1" si="42"/>
        <v>109.3471566789749</v>
      </c>
      <c r="J79" s="306">
        <f t="shared" ca="1" si="43"/>
        <v>7.268407081843252</v>
      </c>
      <c r="K79" s="307">
        <f t="shared" ca="1" si="44"/>
        <v>39.354216661222665</v>
      </c>
      <c r="L79" s="304">
        <f t="shared" ca="1" si="29"/>
        <v>40.019796482813916</v>
      </c>
      <c r="M79" s="306">
        <f t="shared" ca="1" si="45"/>
        <v>1.3828199531971745</v>
      </c>
      <c r="N79" s="304">
        <f t="shared" ca="1" si="46"/>
        <v>79.229747144676125</v>
      </c>
      <c r="P79" s="310">
        <f t="shared" ca="1" si="47"/>
        <v>7</v>
      </c>
      <c r="Q79" s="304">
        <f t="shared" ca="1" si="48"/>
        <v>1307.8351249999998</v>
      </c>
      <c r="R79" s="306">
        <f t="shared" ca="1" si="49"/>
        <v>0.64271170073968487</v>
      </c>
      <c r="S79" s="307">
        <f t="shared" ca="1" si="50"/>
        <v>7.9856235068631998</v>
      </c>
      <c r="T79" s="304">
        <f t="shared" ca="1" si="30"/>
        <v>78.338966602328</v>
      </c>
      <c r="U79" s="311">
        <f t="shared" ca="1" si="31"/>
        <v>0</v>
      </c>
      <c r="V79" s="306">
        <f t="shared" ca="1" si="32"/>
        <v>1.2201885759502253</v>
      </c>
      <c r="W79" s="304">
        <f t="shared" ca="1" si="33"/>
        <v>46.284768252926511</v>
      </c>
      <c r="Y79" s="314" t="str">
        <f t="shared" ca="1" si="51"/>
        <v/>
      </c>
      <c r="Z79" s="315" t="str">
        <f t="shared" ca="1" si="52"/>
        <v/>
      </c>
      <c r="AA79" s="316" t="str">
        <f t="shared" ca="1" si="53"/>
        <v/>
      </c>
      <c r="AC79" s="310" t="e">
        <f t="shared" ca="1" si="54"/>
        <v>#N/A</v>
      </c>
      <c r="AD79" s="323" t="e">
        <f t="shared" ca="1" si="55"/>
        <v>#N/A</v>
      </c>
      <c r="AE79" s="324">
        <f t="shared" ca="1" si="34"/>
        <v>39.354216661222665</v>
      </c>
      <c r="AG79" s="306">
        <f t="shared" ca="1" si="56"/>
        <v>148.49594413966986</v>
      </c>
      <c r="AH79" s="304">
        <f t="shared" ca="1" si="57"/>
        <v>158.13344207488581</v>
      </c>
    </row>
    <row r="80" spans="1:34" x14ac:dyDescent="0.2">
      <c r="A80" s="347">
        <f t="shared" ca="1" si="35"/>
        <v>0.01</v>
      </c>
      <c r="B80" s="304">
        <f t="shared" ca="1" si="36"/>
        <v>0.76000000000000045</v>
      </c>
      <c r="D80" s="306">
        <f t="shared" ca="1" si="37"/>
        <v>29.529273141809799</v>
      </c>
      <c r="E80" s="307">
        <f t="shared" ca="1" si="38"/>
        <v>145.4257018208379</v>
      </c>
      <c r="F80" s="304">
        <f t="shared" ca="1" si="39"/>
        <v>148.39343894649409</v>
      </c>
      <c r="G80" s="306">
        <f t="shared" ca="1" si="40"/>
        <v>20.72913804486797</v>
      </c>
      <c r="H80" s="307">
        <f t="shared" ca="1" si="41"/>
        <v>108.87519836337761</v>
      </c>
      <c r="I80" s="304">
        <f t="shared" ca="1" si="42"/>
        <v>110.8309793457949</v>
      </c>
      <c r="J80" s="306">
        <f t="shared" ca="1" si="43"/>
        <v>7.4742219986348415</v>
      </c>
      <c r="K80" s="307">
        <f t="shared" ca="1" si="44"/>
        <v>40.435697359765399</v>
      </c>
      <c r="L80" s="304">
        <f t="shared" ca="1" si="29"/>
        <v>41.120671388675248</v>
      </c>
      <c r="M80" s="306">
        <f t="shared" ca="1" si="45"/>
        <v>1.3826545475072132</v>
      </c>
      <c r="N80" s="304">
        <f t="shared" ca="1" si="46"/>
        <v>79.220270096733898</v>
      </c>
      <c r="P80" s="310">
        <f t="shared" ca="1" si="47"/>
        <v>7</v>
      </c>
      <c r="Q80" s="304">
        <f t="shared" ca="1" si="48"/>
        <v>1307.1523749999999</v>
      </c>
      <c r="R80" s="306">
        <f t="shared" ca="1" si="49"/>
        <v>0.64237617571417371</v>
      </c>
      <c r="S80" s="307">
        <f t="shared" ca="1" si="50"/>
        <v>7.9791997451060581</v>
      </c>
      <c r="T80" s="304">
        <f t="shared" ca="1" si="30"/>
        <v>78.275949499490437</v>
      </c>
      <c r="U80" s="311">
        <f t="shared" ca="1" si="31"/>
        <v>0</v>
      </c>
      <c r="V80" s="306">
        <f t="shared" ca="1" si="32"/>
        <v>1.2200566215212341</v>
      </c>
      <c r="W80" s="304">
        <f t="shared" ca="1" si="33"/>
        <v>47.54430218542101</v>
      </c>
      <c r="Y80" s="314" t="str">
        <f t="shared" ca="1" si="51"/>
        <v/>
      </c>
      <c r="Z80" s="315" t="str">
        <f t="shared" ca="1" si="52"/>
        <v/>
      </c>
      <c r="AA80" s="316" t="str">
        <f t="shared" ca="1" si="53"/>
        <v/>
      </c>
      <c r="AC80" s="310" t="e">
        <f t="shared" ca="1" si="54"/>
        <v>#N/A</v>
      </c>
      <c r="AD80" s="323" t="e">
        <f t="shared" ca="1" si="55"/>
        <v>#N/A</v>
      </c>
      <c r="AE80" s="324">
        <f t="shared" ca="1" si="34"/>
        <v>40.435697359765399</v>
      </c>
      <c r="AG80" s="306">
        <f t="shared" ca="1" si="56"/>
        <v>148.38211507052748</v>
      </c>
      <c r="AH80" s="304">
        <f t="shared" ca="1" si="57"/>
        <v>158.01930607394689</v>
      </c>
    </row>
    <row r="81" spans="1:34" x14ac:dyDescent="0.2">
      <c r="A81" s="347">
        <f t="shared" ca="1" si="35"/>
        <v>0.01</v>
      </c>
      <c r="B81" s="304">
        <f t="shared" ca="1" si="36"/>
        <v>0.77000000000000046</v>
      </c>
      <c r="D81" s="306">
        <f t="shared" ca="1" si="37"/>
        <v>29.533185811359974</v>
      </c>
      <c r="E81" s="307">
        <f t="shared" ca="1" si="38"/>
        <v>145.30650588435202</v>
      </c>
      <c r="F81" s="304">
        <f t="shared" ca="1" si="39"/>
        <v>148.27740797737039</v>
      </c>
      <c r="G81" s="306">
        <f t="shared" ca="1" si="40"/>
        <v>21.024469902981568</v>
      </c>
      <c r="H81" s="307">
        <f t="shared" ca="1" si="41"/>
        <v>110.32826342222113</v>
      </c>
      <c r="I81" s="304">
        <f t="shared" ca="1" si="42"/>
        <v>112.31364139971775</v>
      </c>
      <c r="J81" s="306">
        <f t="shared" ca="1" si="43"/>
        <v>7.682990038374089</v>
      </c>
      <c r="K81" s="307">
        <f t="shared" ca="1" si="44"/>
        <v>41.53171466869339</v>
      </c>
      <c r="L81" s="304">
        <f t="shared" ca="1" si="29"/>
        <v>42.236378387019847</v>
      </c>
      <c r="M81" s="306">
        <f t="shared" ca="1" si="45"/>
        <v>1.3824911834261577</v>
      </c>
      <c r="N81" s="304">
        <f t="shared" ca="1" si="46"/>
        <v>79.21091002436539</v>
      </c>
      <c r="P81" s="310">
        <f t="shared" ca="1" si="47"/>
        <v>7</v>
      </c>
      <c r="Q81" s="304">
        <f t="shared" ca="1" si="48"/>
        <v>1306.469625</v>
      </c>
      <c r="R81" s="306">
        <f t="shared" ca="1" si="49"/>
        <v>0.64204065068866256</v>
      </c>
      <c r="S81" s="307">
        <f t="shared" ca="1" si="50"/>
        <v>7.9727793385991719</v>
      </c>
      <c r="T81" s="304">
        <f t="shared" ca="1" si="30"/>
        <v>78.212965311657882</v>
      </c>
      <c r="U81" s="311">
        <f t="shared" ca="1" si="31"/>
        <v>0</v>
      </c>
      <c r="V81" s="306">
        <f t="shared" ca="1" si="32"/>
        <v>1.2199229079699621</v>
      </c>
      <c r="W81" s="304">
        <f t="shared" ca="1" si="33"/>
        <v>48.819525314492068</v>
      </c>
      <c r="Y81" s="314" t="str">
        <f t="shared" ca="1" si="51"/>
        <v/>
      </c>
      <c r="Z81" s="315" t="str">
        <f t="shared" ca="1" si="52"/>
        <v/>
      </c>
      <c r="AA81" s="316" t="str">
        <f t="shared" ca="1" si="53"/>
        <v/>
      </c>
      <c r="AC81" s="310" t="e">
        <f t="shared" ca="1" si="54"/>
        <v>#N/A</v>
      </c>
      <c r="AD81" s="323" t="e">
        <f t="shared" ca="1" si="55"/>
        <v>#N/A</v>
      </c>
      <c r="AE81" s="324">
        <f t="shared" ca="1" si="34"/>
        <v>41.53171466869339</v>
      </c>
      <c r="AG81" s="306">
        <f t="shared" ca="1" si="56"/>
        <v>148.26605552195738</v>
      </c>
      <c r="AH81" s="304">
        <f t="shared" ca="1" si="57"/>
        <v>157.90294317060253</v>
      </c>
    </row>
    <row r="82" spans="1:34" x14ac:dyDescent="0.2">
      <c r="A82" s="347">
        <f t="shared" ca="1" si="35"/>
        <v>0.01</v>
      </c>
      <c r="B82" s="304">
        <f t="shared" ca="1" si="36"/>
        <v>0.78000000000000047</v>
      </c>
      <c r="D82" s="306">
        <f t="shared" ca="1" si="37"/>
        <v>29.536327197066448</v>
      </c>
      <c r="E82" s="307">
        <f t="shared" ca="1" si="38"/>
        <v>145.18518906113931</v>
      </c>
      <c r="F82" s="304">
        <f t="shared" ca="1" si="39"/>
        <v>148.15915006171886</v>
      </c>
      <c r="G82" s="306">
        <f t="shared" ca="1" si="40"/>
        <v>21.319833174952233</v>
      </c>
      <c r="H82" s="307">
        <f t="shared" ca="1" si="41"/>
        <v>111.78011531283252</v>
      </c>
      <c r="I82" s="304">
        <f t="shared" ca="1" si="42"/>
        <v>113.79512057183264</v>
      </c>
      <c r="J82" s="306">
        <f t="shared" ca="1" si="43"/>
        <v>7.8947115537637584</v>
      </c>
      <c r="K82" s="307">
        <f t="shared" ca="1" si="44"/>
        <v>42.642256562368658</v>
      </c>
      <c r="L82" s="304">
        <f t="shared" ca="1" si="29"/>
        <v>43.366905760591266</v>
      </c>
      <c r="M82" s="306">
        <f t="shared" ca="1" si="45"/>
        <v>1.3823298078092499</v>
      </c>
      <c r="N82" s="304">
        <f t="shared" ca="1" si="46"/>
        <v>79.201663882600243</v>
      </c>
      <c r="P82" s="310">
        <f t="shared" ca="1" si="47"/>
        <v>7</v>
      </c>
      <c r="Q82" s="304">
        <f t="shared" ca="1" si="48"/>
        <v>1305.786875</v>
      </c>
      <c r="R82" s="306">
        <f t="shared" ca="1" si="49"/>
        <v>0.64170512566315141</v>
      </c>
      <c r="S82" s="307">
        <f t="shared" ca="1" si="50"/>
        <v>7.9663622873425401</v>
      </c>
      <c r="T82" s="304">
        <f t="shared" ca="1" si="30"/>
        <v>78.150014038830321</v>
      </c>
      <c r="U82" s="311">
        <f t="shared" ca="1" si="31"/>
        <v>0</v>
      </c>
      <c r="V82" s="306">
        <f t="shared" ca="1" si="32"/>
        <v>1.2197874373428186</v>
      </c>
      <c r="W82" s="304">
        <f t="shared" ca="1" si="33"/>
        <v>50.110367346415721</v>
      </c>
      <c r="Y82" s="314" t="str">
        <f t="shared" ca="1" si="51"/>
        <v/>
      </c>
      <c r="Z82" s="315" t="str">
        <f t="shared" ca="1" si="52"/>
        <v/>
      </c>
      <c r="AA82" s="316" t="str">
        <f t="shared" ca="1" si="53"/>
        <v/>
      </c>
      <c r="AC82" s="310" t="e">
        <f t="shared" ca="1" si="54"/>
        <v>#N/A</v>
      </c>
      <c r="AD82" s="323" t="e">
        <f t="shared" ca="1" si="55"/>
        <v>#N/A</v>
      </c>
      <c r="AE82" s="324">
        <f t="shared" ca="1" si="34"/>
        <v>42.642256562368658</v>
      </c>
      <c r="AG82" s="306">
        <f t="shared" ca="1" si="56"/>
        <v>148.14776903835215</v>
      </c>
      <c r="AH82" s="304">
        <f t="shared" ca="1" si="57"/>
        <v>157.7843568177482</v>
      </c>
    </row>
    <row r="83" spans="1:34" x14ac:dyDescent="0.2">
      <c r="A83" s="347">
        <f t="shared" ca="1" si="35"/>
        <v>0.01</v>
      </c>
      <c r="B83" s="304">
        <f t="shared" ca="1" si="36"/>
        <v>0.79000000000000048</v>
      </c>
      <c r="D83" s="306">
        <f t="shared" ca="1" si="37"/>
        <v>29.538705878365899</v>
      </c>
      <c r="E83" s="307">
        <f t="shared" ca="1" si="38"/>
        <v>145.06175355362421</v>
      </c>
      <c r="F83" s="304">
        <f t="shared" ca="1" si="39"/>
        <v>148.03866889776137</v>
      </c>
      <c r="G83" s="306">
        <f t="shared" ca="1" si="40"/>
        <v>21.615220233735894</v>
      </c>
      <c r="H83" s="307">
        <f t="shared" ca="1" si="41"/>
        <v>113.23073284836876</v>
      </c>
      <c r="I83" s="304">
        <f t="shared" ca="1" si="42"/>
        <v>115.27539463012721</v>
      </c>
      <c r="J83" s="306">
        <f t="shared" ca="1" si="43"/>
        <v>8.1093868208071989</v>
      </c>
      <c r="K83" s="307">
        <f t="shared" ca="1" si="44"/>
        <v>43.767310803174666</v>
      </c>
      <c r="L83" s="304">
        <f t="shared" ca="1" si="29"/>
        <v>44.512241569608371</v>
      </c>
      <c r="M83" s="306">
        <f t="shared" ca="1" si="45"/>
        <v>1.3821703695466065</v>
      </c>
      <c r="N83" s="304">
        <f t="shared" ca="1" si="46"/>
        <v>79.192528743057878</v>
      </c>
      <c r="P83" s="310">
        <f t="shared" ca="1" si="47"/>
        <v>7</v>
      </c>
      <c r="Q83" s="304">
        <f t="shared" ca="1" si="48"/>
        <v>1305.1041249999998</v>
      </c>
      <c r="R83" s="306">
        <f t="shared" ca="1" si="49"/>
        <v>0.64136960063764015</v>
      </c>
      <c r="S83" s="307">
        <f t="shared" ca="1" si="50"/>
        <v>7.9599485913361638</v>
      </c>
      <c r="T83" s="304">
        <f t="shared" ca="1" si="30"/>
        <v>78.087095681007767</v>
      </c>
      <c r="U83" s="311">
        <f t="shared" ca="1" si="31"/>
        <v>0</v>
      </c>
      <c r="V83" s="306">
        <f t="shared" ca="1" si="32"/>
        <v>1.2196502117189327</v>
      </c>
      <c r="W83" s="304">
        <f t="shared" ca="1" si="33"/>
        <v>51.416756929524851</v>
      </c>
      <c r="Y83" s="314" t="str">
        <f t="shared" ca="1" si="51"/>
        <v/>
      </c>
      <c r="Z83" s="315" t="str">
        <f t="shared" ca="1" si="52"/>
        <v/>
      </c>
      <c r="AA83" s="316" t="str">
        <f t="shared" ca="1" si="53"/>
        <v/>
      </c>
      <c r="AC83" s="310" t="e">
        <f t="shared" ca="1" si="54"/>
        <v>#N/A</v>
      </c>
      <c r="AD83" s="323" t="e">
        <f t="shared" ca="1" si="55"/>
        <v>#N/A</v>
      </c>
      <c r="AE83" s="324">
        <f t="shared" ca="1" si="34"/>
        <v>43.767310803174666</v>
      </c>
      <c r="AG83" s="306">
        <f t="shared" ca="1" si="56"/>
        <v>148.02725931120534</v>
      </c>
      <c r="AH83" s="304">
        <f t="shared" ca="1" si="57"/>
        <v>157.66355061885142</v>
      </c>
    </row>
    <row r="84" spans="1:34" x14ac:dyDescent="0.2">
      <c r="A84" s="347">
        <f t="shared" ca="1" si="35"/>
        <v>0.01</v>
      </c>
      <c r="B84" s="304">
        <f t="shared" ca="1" si="36"/>
        <v>0.80000000000000049</v>
      </c>
      <c r="D84" s="306">
        <f t="shared" ca="1" si="37"/>
        <v>29.540330149961452</v>
      </c>
      <c r="E84" s="307">
        <f t="shared" ca="1" si="38"/>
        <v>144.93620176399574</v>
      </c>
      <c r="F84" s="304">
        <f t="shared" ca="1" si="39"/>
        <v>147.91596833047609</v>
      </c>
      <c r="G84" s="306">
        <f t="shared" ca="1" si="40"/>
        <v>21.910623535235509</v>
      </c>
      <c r="H84" s="307">
        <f t="shared" ca="1" si="41"/>
        <v>114.68009486600872</v>
      </c>
      <c r="I84" s="304">
        <f t="shared" ca="1" si="42"/>
        <v>116.75444138095807</v>
      </c>
      <c r="J84" s="306">
        <f t="shared" ca="1" si="43"/>
        <v>8.3270160396520563</v>
      </c>
      <c r="K84" s="307">
        <f t="shared" ca="1" si="44"/>
        <v>44.906864941746555</v>
      </c>
      <c r="L84" s="304">
        <f t="shared" ca="1" si="29"/>
        <v>45.672373652142149</v>
      </c>
      <c r="M84" s="306">
        <f t="shared" ca="1" si="45"/>
        <v>1.3820128194600507</v>
      </c>
      <c r="N84" s="304">
        <f t="shared" ca="1" si="46"/>
        <v>79.18350178803631</v>
      </c>
      <c r="P84" s="310">
        <f t="shared" ca="1" si="47"/>
        <v>7</v>
      </c>
      <c r="Q84" s="304">
        <f t="shared" ca="1" si="48"/>
        <v>1304.4213749999999</v>
      </c>
      <c r="R84" s="306">
        <f t="shared" ca="1" si="49"/>
        <v>0.64103407561212911</v>
      </c>
      <c r="S84" s="307">
        <f t="shared" ca="1" si="50"/>
        <v>7.9535382505800429</v>
      </c>
      <c r="T84" s="304">
        <f t="shared" ca="1" si="30"/>
        <v>78.024210238190221</v>
      </c>
      <c r="U84" s="311">
        <f t="shared" ca="1" si="31"/>
        <v>0</v>
      </c>
      <c r="V84" s="306">
        <f t="shared" ca="1" si="32"/>
        <v>1.2195112332100828</v>
      </c>
      <c r="W84" s="304">
        <f t="shared" ca="1" si="33"/>
        <v>52.738621661551363</v>
      </c>
      <c r="Y84" s="314" t="str">
        <f t="shared" ca="1" si="51"/>
        <v/>
      </c>
      <c r="Z84" s="315" t="str">
        <f t="shared" ca="1" si="52"/>
        <v/>
      </c>
      <c r="AA84" s="316" t="str">
        <f t="shared" ca="1" si="53"/>
        <v/>
      </c>
      <c r="AC84" s="310" t="e">
        <f t="shared" ca="1" si="54"/>
        <v>#N/A</v>
      </c>
      <c r="AD84" s="323" t="e">
        <f t="shared" ca="1" si="55"/>
        <v>#N/A</v>
      </c>
      <c r="AE84" s="324">
        <f t="shared" ca="1" si="34"/>
        <v>44.906864941746555</v>
      </c>
      <c r="AG84" s="306">
        <f t="shared" ca="1" si="56"/>
        <v>147.90453017897551</v>
      </c>
      <c r="AH84" s="304">
        <f t="shared" ca="1" si="57"/>
        <v>157.5405283276402</v>
      </c>
    </row>
    <row r="85" spans="1:34" x14ac:dyDescent="0.2">
      <c r="A85" s="347">
        <f t="shared" ca="1" si="35"/>
        <v>0.01</v>
      </c>
      <c r="B85" s="304">
        <f t="shared" ca="1" si="36"/>
        <v>0.8100000000000005</v>
      </c>
      <c r="D85" s="306">
        <f t="shared" ca="1" si="37"/>
        <v>29.521554801045646</v>
      </c>
      <c r="E85" s="307">
        <f t="shared" ca="1" si="38"/>
        <v>144.70567134689486</v>
      </c>
      <c r="F85" s="304">
        <f t="shared" ca="1" si="39"/>
        <v>147.68633490552432</v>
      </c>
      <c r="G85" s="306">
        <f t="shared" ca="1" si="40"/>
        <v>22.205839083245966</v>
      </c>
      <c r="H85" s="307">
        <f t="shared" ca="1" si="41"/>
        <v>116.12715157947767</v>
      </c>
      <c r="I85" s="304">
        <f t="shared" ca="1" si="42"/>
        <v>118.2311914147616</v>
      </c>
      <c r="J85" s="306">
        <f t="shared" ca="1" si="43"/>
        <v>8.5475983527444637</v>
      </c>
      <c r="K85" s="307">
        <f t="shared" ca="1" si="44"/>
        <v>46.060901173973988</v>
      </c>
      <c r="L85" s="304">
        <f t="shared" ca="1" si="29"/>
        <v>46.847284388301937</v>
      </c>
      <c r="M85" s="306">
        <f t="shared" ca="1" si="45"/>
        <v>1.3818571088271931</v>
      </c>
      <c r="N85" s="304">
        <f t="shared" ca="1" si="46"/>
        <v>79.174580225948262</v>
      </c>
      <c r="P85" s="310">
        <f t="shared" ca="1" si="47"/>
        <v>8</v>
      </c>
      <c r="Q85" s="304">
        <f t="shared" ca="1" si="48"/>
        <v>1302.9069999999999</v>
      </c>
      <c r="R85" s="306">
        <f t="shared" ca="1" si="49"/>
        <v>0.64028986365971829</v>
      </c>
      <c r="S85" s="307">
        <f t="shared" ca="1" si="50"/>
        <v>7.9471353519434453</v>
      </c>
      <c r="T85" s="304">
        <f t="shared" ca="1" si="30"/>
        <v>77.961397802565202</v>
      </c>
      <c r="U85" s="311">
        <f t="shared" ca="1" si="31"/>
        <v>0</v>
      </c>
      <c r="V85" s="306">
        <f t="shared" ca="1" si="32"/>
        <v>1.2193705045877805</v>
      </c>
      <c r="W85" s="304">
        <f t="shared" ca="1" si="33"/>
        <v>54.074930162282911</v>
      </c>
      <c r="Y85" s="314" t="str">
        <f t="shared" ca="1" si="51"/>
        <v/>
      </c>
      <c r="Z85" s="315" t="str">
        <f t="shared" ca="1" si="52"/>
        <v/>
      </c>
      <c r="AA85" s="316" t="str">
        <f t="shared" ca="1" si="53"/>
        <v/>
      </c>
      <c r="AC85" s="310" t="e">
        <f t="shared" ca="1" si="54"/>
        <v>#N/A</v>
      </c>
      <c r="AD85" s="323" t="e">
        <f t="shared" ca="1" si="55"/>
        <v>#N/A</v>
      </c>
      <c r="AE85" s="324">
        <f t="shared" ca="1" si="34"/>
        <v>46.060901173973988</v>
      </c>
      <c r="AG85" s="306">
        <f t="shared" ca="1" si="56"/>
        <v>147.67486004985443</v>
      </c>
      <c r="AH85" s="304">
        <f t="shared" ca="1" si="57"/>
        <v>157.31056827070699</v>
      </c>
    </row>
    <row r="86" spans="1:34" x14ac:dyDescent="0.2">
      <c r="A86" s="347">
        <f t="shared" ca="1" si="35"/>
        <v>0.01</v>
      </c>
      <c r="B86" s="304">
        <f t="shared" ca="1" si="36"/>
        <v>0.82000000000000051</v>
      </c>
      <c r="D86" s="306">
        <f t="shared" ca="1" si="37"/>
        <v>29.48229976237765</v>
      </c>
      <c r="E86" s="307">
        <f t="shared" ca="1" si="38"/>
        <v>144.36996503452849</v>
      </c>
      <c r="F86" s="304">
        <f t="shared" ca="1" si="39"/>
        <v>147.34955990212413</v>
      </c>
      <c r="G86" s="306">
        <f t="shared" ca="1" si="40"/>
        <v>22.500662080869741</v>
      </c>
      <c r="H86" s="307">
        <f t="shared" ca="1" si="41"/>
        <v>117.57085122982295</v>
      </c>
      <c r="I86" s="304">
        <f t="shared" ca="1" si="42"/>
        <v>119.70457323336753</v>
      </c>
      <c r="J86" s="306">
        <f t="shared" ca="1" si="43"/>
        <v>8.7711308585650425</v>
      </c>
      <c r="K86" s="307">
        <f t="shared" ca="1" si="44"/>
        <v>47.229391188020493</v>
      </c>
      <c r="L86" s="304">
        <f t="shared" ca="1" si="29"/>
        <v>48.03694545377693</v>
      </c>
      <c r="M86" s="306">
        <f t="shared" ca="1" si="45"/>
        <v>1.3817031894176133</v>
      </c>
      <c r="N86" s="304">
        <f t="shared" ca="1" si="46"/>
        <v>79.165761293394198</v>
      </c>
      <c r="P86" s="310">
        <f t="shared" ca="1" si="47"/>
        <v>8</v>
      </c>
      <c r="Q86" s="304">
        <f t="shared" ca="1" si="48"/>
        <v>1300.5609999999999</v>
      </c>
      <c r="R86" s="306">
        <f t="shared" ca="1" si="49"/>
        <v>0.63913696478040782</v>
      </c>
      <c r="S86" s="307">
        <f t="shared" ca="1" si="50"/>
        <v>7.9407439822956416</v>
      </c>
      <c r="T86" s="304">
        <f t="shared" ca="1" si="30"/>
        <v>77.898698466320255</v>
      </c>
      <c r="U86" s="311">
        <f t="shared" ca="1" si="31"/>
        <v>0</v>
      </c>
      <c r="V86" s="306">
        <f t="shared" ca="1" si="32"/>
        <v>1.2192280299111304</v>
      </c>
      <c r="W86" s="304">
        <f t="shared" ca="1" si="33"/>
        <v>55.424600754069303</v>
      </c>
      <c r="Y86" s="314" t="str">
        <f t="shared" ca="1" si="51"/>
        <v/>
      </c>
      <c r="Z86" s="315" t="str">
        <f t="shared" ca="1" si="52"/>
        <v/>
      </c>
      <c r="AA86" s="316" t="str">
        <f t="shared" ca="1" si="53"/>
        <v/>
      </c>
      <c r="AC86" s="310" t="e">
        <f t="shared" ca="1" si="54"/>
        <v>#N/A</v>
      </c>
      <c r="AD86" s="323" t="e">
        <f t="shared" ca="1" si="55"/>
        <v>#N/A</v>
      </c>
      <c r="AE86" s="324">
        <f t="shared" ca="1" si="34"/>
        <v>47.229391188020493</v>
      </c>
      <c r="AG86" s="306">
        <f t="shared" ca="1" si="56"/>
        <v>147.33804006343638</v>
      </c>
      <c r="AH86" s="304">
        <f t="shared" ca="1" si="57"/>
        <v>156.97346150648244</v>
      </c>
    </row>
    <row r="87" spans="1:34" x14ac:dyDescent="0.2">
      <c r="A87" s="347">
        <f t="shared" ca="1" si="35"/>
        <v>0.01</v>
      </c>
      <c r="B87" s="304">
        <f t="shared" ca="1" si="36"/>
        <v>0.83000000000000052</v>
      </c>
      <c r="D87" s="306">
        <f t="shared" ca="1" si="37"/>
        <v>29.442203905170338</v>
      </c>
      <c r="E87" s="307">
        <f t="shared" ca="1" si="38"/>
        <v>144.03191641880301</v>
      </c>
      <c r="F87" s="304">
        <f t="shared" ca="1" si="39"/>
        <v>147.01032724970952</v>
      </c>
      <c r="G87" s="306">
        <f t="shared" ca="1" si="40"/>
        <v>22.795084119921444</v>
      </c>
      <c r="H87" s="307">
        <f t="shared" ca="1" si="41"/>
        <v>119.01117039401097</v>
      </c>
      <c r="I87" s="304">
        <f t="shared" ca="1" si="42"/>
        <v>121.17456225869607</v>
      </c>
      <c r="J87" s="306">
        <f t="shared" ca="1" si="43"/>
        <v>8.9976095895689987</v>
      </c>
      <c r="K87" s="307">
        <f t="shared" ca="1" si="44"/>
        <v>48.41230129613966</v>
      </c>
      <c r="L87" s="304">
        <f t="shared" ca="1" si="29"/>
        <v>49.241323043908046</v>
      </c>
      <c r="M87" s="306">
        <f t="shared" ca="1" si="45"/>
        <v>1.3815510148402412</v>
      </c>
      <c r="N87" s="304">
        <f t="shared" ca="1" si="46"/>
        <v>79.157042332361584</v>
      </c>
      <c r="P87" s="310">
        <f t="shared" ca="1" si="47"/>
        <v>8</v>
      </c>
      <c r="Q87" s="304">
        <f t="shared" ca="1" si="48"/>
        <v>1298.2149999999999</v>
      </c>
      <c r="R87" s="306">
        <f t="shared" ca="1" si="49"/>
        <v>0.63798406590109746</v>
      </c>
      <c r="S87" s="307">
        <f t="shared" ca="1" si="50"/>
        <v>7.9343641416366308</v>
      </c>
      <c r="T87" s="304">
        <f t="shared" ca="1" si="30"/>
        <v>77.836112229455352</v>
      </c>
      <c r="U87" s="311">
        <f t="shared" ca="1" si="31"/>
        <v>0</v>
      </c>
      <c r="V87" s="306">
        <f t="shared" ca="1" si="32"/>
        <v>1.2190838139004219</v>
      </c>
      <c r="W87" s="304">
        <f t="shared" ca="1" si="33"/>
        <v>56.787484815110908</v>
      </c>
      <c r="Y87" s="314" t="str">
        <f t="shared" ca="1" si="51"/>
        <v/>
      </c>
      <c r="Z87" s="315" t="str">
        <f t="shared" ca="1" si="52"/>
        <v/>
      </c>
      <c r="AA87" s="316" t="str">
        <f t="shared" ca="1" si="53"/>
        <v/>
      </c>
      <c r="AC87" s="310" t="e">
        <f t="shared" ca="1" si="54"/>
        <v>#N/A</v>
      </c>
      <c r="AD87" s="323" t="e">
        <f t="shared" ca="1" si="55"/>
        <v>#N/A</v>
      </c>
      <c r="AE87" s="324">
        <f t="shared" ca="1" si="34"/>
        <v>48.41230129613966</v>
      </c>
      <c r="AG87" s="306">
        <f t="shared" ca="1" si="56"/>
        <v>146.99876223026956</v>
      </c>
      <c r="AH87" s="304">
        <f t="shared" ca="1" si="57"/>
        <v>156.63389996486583</v>
      </c>
    </row>
    <row r="88" spans="1:34" x14ac:dyDescent="0.2">
      <c r="A88" s="347">
        <f t="shared" ca="1" si="35"/>
        <v>0.01</v>
      </c>
      <c r="B88" s="304">
        <f t="shared" ca="1" si="36"/>
        <v>0.84000000000000052</v>
      </c>
      <c r="D88" s="306">
        <f t="shared" ca="1" si="37"/>
        <v>29.401277748115277</v>
      </c>
      <c r="E88" s="307">
        <f t="shared" ca="1" si="38"/>
        <v>143.69153820334532</v>
      </c>
      <c r="F88" s="304">
        <f t="shared" ca="1" si="39"/>
        <v>146.66865133512772</v>
      </c>
      <c r="G88" s="306">
        <f t="shared" ca="1" si="40"/>
        <v>23.089096897402598</v>
      </c>
      <c r="H88" s="307">
        <f t="shared" ca="1" si="41"/>
        <v>120.44808577604442</v>
      </c>
      <c r="I88" s="304">
        <f t="shared" ca="1" si="42"/>
        <v>122.64113405644535</v>
      </c>
      <c r="J88" s="306">
        <f t="shared" ca="1" si="43"/>
        <v>9.2270304946556188</v>
      </c>
      <c r="K88" s="307">
        <f t="shared" ca="1" si="44"/>
        <v>49.609597576989934</v>
      </c>
      <c r="L88" s="304">
        <f t="shared" ca="1" si="29"/>
        <v>50.460383108932</v>
      </c>
      <c r="M88" s="306">
        <f t="shared" ca="1" si="45"/>
        <v>1.3814005404504126</v>
      </c>
      <c r="N88" s="304">
        <f t="shared" ca="1" si="46"/>
        <v>79.148420784899599</v>
      </c>
      <c r="P88" s="310">
        <f t="shared" ca="1" si="47"/>
        <v>8</v>
      </c>
      <c r="Q88" s="304">
        <f t="shared" ca="1" si="48"/>
        <v>1295.8689999999997</v>
      </c>
      <c r="R88" s="306">
        <f t="shared" ca="1" si="49"/>
        <v>0.63683116702178688</v>
      </c>
      <c r="S88" s="307">
        <f t="shared" ca="1" si="50"/>
        <v>7.9279958299664131</v>
      </c>
      <c r="T88" s="304">
        <f t="shared" ca="1" si="30"/>
        <v>77.773639091970523</v>
      </c>
      <c r="U88" s="311">
        <f t="shared" ca="1" si="31"/>
        <v>0</v>
      </c>
      <c r="V88" s="306">
        <f t="shared" ca="1" si="32"/>
        <v>1.2189378613098627</v>
      </c>
      <c r="W88" s="304">
        <f t="shared" ca="1" si="33"/>
        <v>58.163432979133049</v>
      </c>
      <c r="Y88" s="314" t="str">
        <f t="shared" ca="1" si="51"/>
        <v/>
      </c>
      <c r="Z88" s="315" t="str">
        <f t="shared" ca="1" si="52"/>
        <v/>
      </c>
      <c r="AA88" s="316" t="str">
        <f t="shared" ca="1" si="53"/>
        <v/>
      </c>
      <c r="AC88" s="310" t="e">
        <f t="shared" ca="1" si="54"/>
        <v>#N/A</v>
      </c>
      <c r="AD88" s="323" t="e">
        <f t="shared" ca="1" si="55"/>
        <v>#N/A</v>
      </c>
      <c r="AE88" s="324">
        <f t="shared" ca="1" si="34"/>
        <v>49.609597576989934</v>
      </c>
      <c r="AG88" s="306">
        <f t="shared" ca="1" si="56"/>
        <v>146.65704092957836</v>
      </c>
      <c r="AH88" s="304">
        <f t="shared" ca="1" si="57"/>
        <v>156.29189794744607</v>
      </c>
    </row>
    <row r="89" spans="1:34" x14ac:dyDescent="0.2">
      <c r="A89" s="347">
        <f t="shared" ca="1" si="35"/>
        <v>0.01</v>
      </c>
      <c r="B89" s="304">
        <f t="shared" ca="1" si="36"/>
        <v>0.85000000000000053</v>
      </c>
      <c r="D89" s="306">
        <f t="shared" ca="1" si="37"/>
        <v>29.359531543179202</v>
      </c>
      <c r="E89" s="307">
        <f t="shared" ca="1" si="38"/>
        <v>143.34884330041265</v>
      </c>
      <c r="F89" s="304">
        <f t="shared" ca="1" si="39"/>
        <v>146.32454670355619</v>
      </c>
      <c r="G89" s="306">
        <f t="shared" ca="1" si="40"/>
        <v>23.382692212834389</v>
      </c>
      <c r="H89" s="307">
        <f t="shared" ca="1" si="41"/>
        <v>121.88157420904855</v>
      </c>
      <c r="I89" s="304">
        <f t="shared" ca="1" si="42"/>
        <v>124.10426433767678</v>
      </c>
      <c r="J89" s="306">
        <f t="shared" ca="1" si="43"/>
        <v>9.4593894402068042</v>
      </c>
      <c r="K89" s="307">
        <f t="shared" ca="1" si="44"/>
        <v>50.821245876915398</v>
      </c>
      <c r="L89" s="304">
        <f t="shared" ca="1" si="29"/>
        <v>51.694091355428483</v>
      </c>
      <c r="M89" s="306">
        <f t="shared" ca="1" si="45"/>
        <v>1.3812517232627404</v>
      </c>
      <c r="N89" s="304">
        <f t="shared" ca="1" si="46"/>
        <v>79.139894188126974</v>
      </c>
      <c r="P89" s="310">
        <f t="shared" ca="1" si="47"/>
        <v>8</v>
      </c>
      <c r="Q89" s="304">
        <f t="shared" ca="1" si="48"/>
        <v>1293.5229999999997</v>
      </c>
      <c r="R89" s="306">
        <f t="shared" ca="1" si="49"/>
        <v>0.63567826814247652</v>
      </c>
      <c r="S89" s="307">
        <f t="shared" ca="1" si="50"/>
        <v>7.9216390472849882</v>
      </c>
      <c r="T89" s="304">
        <f t="shared" ca="1" si="30"/>
        <v>77.711279053865738</v>
      </c>
      <c r="U89" s="311">
        <f t="shared" ca="1" si="31"/>
        <v>0</v>
      </c>
      <c r="V89" s="306">
        <f t="shared" ca="1" si="32"/>
        <v>1.2187901769273395</v>
      </c>
      <c r="W89" s="304">
        <f t="shared" ca="1" si="33"/>
        <v>59.552295154624993</v>
      </c>
      <c r="Y89" s="314" t="str">
        <f t="shared" ca="1" si="51"/>
        <v/>
      </c>
      <c r="Z89" s="315" t="str">
        <f t="shared" ca="1" si="52"/>
        <v/>
      </c>
      <c r="AA89" s="316" t="str">
        <f t="shared" ca="1" si="53"/>
        <v/>
      </c>
      <c r="AC89" s="310" t="e">
        <f t="shared" ca="1" si="54"/>
        <v>#N/A</v>
      </c>
      <c r="AD89" s="323" t="e">
        <f t="shared" ca="1" si="55"/>
        <v>#N/A</v>
      </c>
      <c r="AE89" s="324">
        <f t="shared" ca="1" si="34"/>
        <v>50.821245876915398</v>
      </c>
      <c r="AG89" s="306">
        <f t="shared" ca="1" si="56"/>
        <v>146.31289069904543</v>
      </c>
      <c r="AH89" s="304">
        <f t="shared" ca="1" si="57"/>
        <v>155.94746991713362</v>
      </c>
    </row>
    <row r="90" spans="1:34" x14ac:dyDescent="0.2">
      <c r="A90" s="347">
        <f t="shared" ca="1" si="35"/>
        <v>0.01</v>
      </c>
      <c r="B90" s="304">
        <f t="shared" ca="1" si="36"/>
        <v>0.86000000000000054</v>
      </c>
      <c r="D90" s="306">
        <f t="shared" ca="1" si="37"/>
        <v>29.316975290351049</v>
      </c>
      <c r="E90" s="307">
        <f t="shared" ca="1" si="38"/>
        <v>143.00384482640928</v>
      </c>
      <c r="F90" s="304">
        <f t="shared" ca="1" si="39"/>
        <v>145.97802805665927</v>
      </c>
      <c r="G90" s="306">
        <f t="shared" ca="1" si="40"/>
        <v>23.675861965737898</v>
      </c>
      <c r="H90" s="307">
        <f t="shared" ca="1" si="41"/>
        <v>123.31161265731265</v>
      </c>
      <c r="I90" s="304">
        <f t="shared" ca="1" si="42"/>
        <v>125.5639289603817</v>
      </c>
      <c r="J90" s="306">
        <f t="shared" ca="1" si="43"/>
        <v>9.694682211099666</v>
      </c>
      <c r="K90" s="307">
        <f t="shared" ca="1" si="44"/>
        <v>52.047211811247202</v>
      </c>
      <c r="L90" s="304">
        <f t="shared" ca="1" si="29"/>
        <v>52.942413247783129</v>
      </c>
      <c r="M90" s="306">
        <f t="shared" ca="1" si="45"/>
        <v>1.3811045218693645</v>
      </c>
      <c r="N90" s="304">
        <f t="shared" ca="1" si="46"/>
        <v>79.131460169548092</v>
      </c>
      <c r="P90" s="310">
        <f t="shared" ca="1" si="47"/>
        <v>8</v>
      </c>
      <c r="Q90" s="304">
        <f t="shared" ca="1" si="48"/>
        <v>1291.1769999999997</v>
      </c>
      <c r="R90" s="306">
        <f t="shared" ca="1" si="49"/>
        <v>0.63452536926316605</v>
      </c>
      <c r="S90" s="307">
        <f t="shared" ca="1" si="50"/>
        <v>7.9152937935923564</v>
      </c>
      <c r="T90" s="304">
        <f t="shared" ca="1" si="30"/>
        <v>77.649032115141026</v>
      </c>
      <c r="U90" s="311">
        <f t="shared" ca="1" si="31"/>
        <v>0</v>
      </c>
      <c r="V90" s="306">
        <f t="shared" ca="1" si="32"/>
        <v>1.218640765574178</v>
      </c>
      <c r="W90" s="304">
        <f t="shared" ca="1" si="33"/>
        <v>60.953920544153483</v>
      </c>
      <c r="Y90" s="314" t="str">
        <f t="shared" ca="1" si="51"/>
        <v/>
      </c>
      <c r="Z90" s="315" t="str">
        <f t="shared" ca="1" si="52"/>
        <v/>
      </c>
      <c r="AA90" s="316" t="str">
        <f t="shared" ca="1" si="53"/>
        <v/>
      </c>
      <c r="AC90" s="310" t="e">
        <f t="shared" ca="1" si="54"/>
        <v>#N/A</v>
      </c>
      <c r="AD90" s="323" t="e">
        <f t="shared" ca="1" si="55"/>
        <v>#N/A</v>
      </c>
      <c r="AE90" s="324">
        <f t="shared" ca="1" si="34"/>
        <v>52.047211811247202</v>
      </c>
      <c r="AG90" s="306">
        <f t="shared" ca="1" si="56"/>
        <v>145.96632623295986</v>
      </c>
      <c r="AH90" s="304">
        <f t="shared" ca="1" si="57"/>
        <v>155.60063049616781</v>
      </c>
    </row>
    <row r="91" spans="1:34" x14ac:dyDescent="0.2">
      <c r="A91" s="347">
        <f t="shared" ca="1" si="35"/>
        <v>0.01</v>
      </c>
      <c r="B91" s="304">
        <f t="shared" ca="1" si="36"/>
        <v>0.87000000000000055</v>
      </c>
      <c r="D91" s="306">
        <f t="shared" ca="1" si="37"/>
        <v>29.2736187514504</v>
      </c>
      <c r="E91" s="307">
        <f t="shared" ca="1" si="38"/>
        <v>142.65655609753594</v>
      </c>
      <c r="F91" s="304">
        <f t="shared" ca="1" si="39"/>
        <v>145.62911025071423</v>
      </c>
      <c r="G91" s="306">
        <f t="shared" ca="1" si="40"/>
        <v>23.968598153252401</v>
      </c>
      <c r="H91" s="307">
        <f t="shared" ca="1" si="41"/>
        <v>124.73817821828801</v>
      </c>
      <c r="I91" s="304">
        <f t="shared" ca="1" si="42"/>
        <v>127.02010393102927</v>
      </c>
      <c r="J91" s="306">
        <f t="shared" ca="1" si="43"/>
        <v>9.932904511694618</v>
      </c>
      <c r="K91" s="307">
        <f t="shared" ca="1" si="44"/>
        <v>53.287460765625205</v>
      </c>
      <c r="L91" s="304">
        <f t="shared" ca="1" si="29"/>
        <v>54.205314009665955</v>
      </c>
      <c r="M91" s="306">
        <f t="shared" ca="1" si="45"/>
        <v>1.3809588963631911</v>
      </c>
      <c r="N91" s="304">
        <f t="shared" ca="1" si="46"/>
        <v>79.123116442654904</v>
      </c>
      <c r="P91" s="310">
        <f t="shared" ca="1" si="47"/>
        <v>8</v>
      </c>
      <c r="Q91" s="304">
        <f t="shared" ca="1" si="48"/>
        <v>1288.8309999999997</v>
      </c>
      <c r="R91" s="306">
        <f t="shared" ca="1" si="49"/>
        <v>0.63337247038385569</v>
      </c>
      <c r="S91" s="307">
        <f t="shared" ca="1" si="50"/>
        <v>7.9089600688885175</v>
      </c>
      <c r="T91" s="304">
        <f t="shared" ca="1" si="30"/>
        <v>77.586898275796358</v>
      </c>
      <c r="U91" s="311">
        <f t="shared" ca="1" si="31"/>
        <v>0</v>
      </c>
      <c r="V91" s="306">
        <f t="shared" ca="1" si="32"/>
        <v>1.2184896321048999</v>
      </c>
      <c r="W91" s="304">
        <f t="shared" ca="1" si="33"/>
        <v>62.368157663746487</v>
      </c>
      <c r="Y91" s="314" t="str">
        <f t="shared" ca="1" si="51"/>
        <v/>
      </c>
      <c r="Z91" s="315" t="str">
        <f t="shared" ca="1" si="52"/>
        <v/>
      </c>
      <c r="AA91" s="316" t="str">
        <f t="shared" ca="1" si="53"/>
        <v/>
      </c>
      <c r="AC91" s="310" t="e">
        <f t="shared" ca="1" si="54"/>
        <v>#N/A</v>
      </c>
      <c r="AD91" s="323" t="e">
        <f t="shared" ca="1" si="55"/>
        <v>#N/A</v>
      </c>
      <c r="AE91" s="324">
        <f t="shared" ca="1" si="34"/>
        <v>53.287460765625205</v>
      </c>
      <c r="AG91" s="306">
        <f t="shared" ca="1" si="56"/>
        <v>145.61736238033481</v>
      </c>
      <c r="AH91" s="304">
        <f t="shared" ca="1" si="57"/>
        <v>155.25139446410245</v>
      </c>
    </row>
    <row r="92" spans="1:34" x14ac:dyDescent="0.2">
      <c r="A92" s="347">
        <f t="shared" ca="1" si="35"/>
        <v>0.01</v>
      </c>
      <c r="B92" s="304">
        <f t="shared" ca="1" si="36"/>
        <v>0.88000000000000056</v>
      </c>
      <c r="D92" s="306">
        <f t="shared" ca="1" si="37"/>
        <v>29.229471463064641</v>
      </c>
      <c r="E92" s="307">
        <f t="shared" ca="1" si="38"/>
        <v>142.3069906255605</v>
      </c>
      <c r="F92" s="304">
        <f t="shared" ca="1" si="39"/>
        <v>145.27780829470643</v>
      </c>
      <c r="G92" s="306">
        <f t="shared" ca="1" si="40"/>
        <v>24.260892867883047</v>
      </c>
      <c r="H92" s="307">
        <f t="shared" ca="1" si="41"/>
        <v>126.16124812454362</v>
      </c>
      <c r="I92" s="304">
        <f t="shared" ca="1" si="42"/>
        <v>128.47276540609516</v>
      </c>
      <c r="J92" s="306">
        <f t="shared" ca="1" si="43"/>
        <v>10.174051966800295</v>
      </c>
      <c r="K92" s="307">
        <f t="shared" ca="1" si="44"/>
        <v>54.541957897339366</v>
      </c>
      <c r="L92" s="304">
        <f t="shared" ca="1" si="29"/>
        <v>55.482758625525214</v>
      </c>
      <c r="M92" s="306">
        <f t="shared" ca="1" si="45"/>
        <v>1.3808148082657556</v>
      </c>
      <c r="N92" s="304">
        <f t="shared" ca="1" si="46"/>
        <v>79.114860802793771</v>
      </c>
      <c r="P92" s="310">
        <f t="shared" ca="1" si="47"/>
        <v>8</v>
      </c>
      <c r="Q92" s="304">
        <f t="shared" ca="1" si="48"/>
        <v>1286.4849999999997</v>
      </c>
      <c r="R92" s="306">
        <f t="shared" ca="1" si="49"/>
        <v>0.63221957150454522</v>
      </c>
      <c r="S92" s="307">
        <f t="shared" ca="1" si="50"/>
        <v>7.9026378731734717</v>
      </c>
      <c r="T92" s="304">
        <f t="shared" ca="1" si="30"/>
        <v>77.524877535831763</v>
      </c>
      <c r="U92" s="311">
        <f t="shared" ca="1" si="31"/>
        <v>0</v>
      </c>
      <c r="V92" s="306">
        <f t="shared" ca="1" si="32"/>
        <v>1.2183367814069743</v>
      </c>
      <c r="W92" s="304">
        <f t="shared" ca="1" si="33"/>
        <v>63.794854362342434</v>
      </c>
      <c r="Y92" s="314" t="str">
        <f t="shared" ca="1" si="51"/>
        <v/>
      </c>
      <c r="Z92" s="315" t="str">
        <f t="shared" ca="1" si="52"/>
        <v/>
      </c>
      <c r="AA92" s="316" t="str">
        <f t="shared" ca="1" si="53"/>
        <v/>
      </c>
      <c r="AC92" s="310" t="e">
        <f t="shared" ca="1" si="54"/>
        <v>#N/A</v>
      </c>
      <c r="AD92" s="323" t="e">
        <f t="shared" ca="1" si="55"/>
        <v>#N/A</v>
      </c>
      <c r="AE92" s="324">
        <f t="shared" ca="1" si="34"/>
        <v>54.541957897339366</v>
      </c>
      <c r="AG92" s="306">
        <f t="shared" ca="1" si="56"/>
        <v>145.26601414299478</v>
      </c>
      <c r="AH92" s="304">
        <f t="shared" ca="1" si="57"/>
        <v>154.89977675576867</v>
      </c>
    </row>
    <row r="93" spans="1:34" x14ac:dyDescent="0.2">
      <c r="A93" s="347">
        <f t="shared" ca="1" si="35"/>
        <v>0.01</v>
      </c>
      <c r="B93" s="304">
        <f t="shared" ca="1" si="36"/>
        <v>0.89000000000000057</v>
      </c>
      <c r="D93" s="306">
        <f t="shared" ca="1" si="37"/>
        <v>29.184542748678577</v>
      </c>
      <c r="E93" s="307">
        <f t="shared" ca="1" si="38"/>
        <v>141.95516211370048</v>
      </c>
      <c r="F93" s="304">
        <f t="shared" ca="1" si="39"/>
        <v>144.92413734839491</v>
      </c>
      <c r="G93" s="306">
        <f t="shared" ca="1" si="40"/>
        <v>24.552738295369831</v>
      </c>
      <c r="H93" s="307">
        <f t="shared" ca="1" si="41"/>
        <v>127.58079974568062</v>
      </c>
      <c r="I93" s="304">
        <f t="shared" ca="1" si="42"/>
        <v>129.92188969357079</v>
      </c>
      <c r="J93" s="306">
        <f t="shared" ca="1" si="43"/>
        <v>10.418120122616561</v>
      </c>
      <c r="K93" s="307">
        <f t="shared" ca="1" si="44"/>
        <v>55.810668136690488</v>
      </c>
      <c r="L93" s="304">
        <f t="shared" ca="1" si="29"/>
        <v>56.774711842096274</v>
      </c>
      <c r="M93" s="306">
        <f t="shared" ca="1" si="45"/>
        <v>1.3806722204593813</v>
      </c>
      <c r="N93" s="304">
        <f t="shared" ca="1" si="46"/>
        <v>79.106691123278495</v>
      </c>
      <c r="P93" s="310">
        <f t="shared" ca="1" si="47"/>
        <v>8</v>
      </c>
      <c r="Q93" s="304">
        <f t="shared" ca="1" si="48"/>
        <v>1284.1389999999997</v>
      </c>
      <c r="R93" s="306">
        <f t="shared" ca="1" si="49"/>
        <v>0.63106667262523486</v>
      </c>
      <c r="S93" s="307">
        <f t="shared" ca="1" si="50"/>
        <v>7.8963272064472196</v>
      </c>
      <c r="T93" s="304">
        <f t="shared" ca="1" si="30"/>
        <v>77.462969895247227</v>
      </c>
      <c r="U93" s="311">
        <f t="shared" ca="1" si="31"/>
        <v>0</v>
      </c>
      <c r="V93" s="306">
        <f t="shared" ca="1" si="32"/>
        <v>1.2181822184005691</v>
      </c>
      <c r="W93" s="304">
        <f t="shared" ca="1" si="33"/>
        <v>65.233857841300775</v>
      </c>
      <c r="Y93" s="314" t="str">
        <f t="shared" ca="1" si="51"/>
        <v/>
      </c>
      <c r="Z93" s="315" t="str">
        <f t="shared" ca="1" si="52"/>
        <v/>
      </c>
      <c r="AA93" s="316" t="str">
        <f t="shared" ca="1" si="53"/>
        <v/>
      </c>
      <c r="AC93" s="310" t="e">
        <f t="shared" ca="1" si="54"/>
        <v>#N/A</v>
      </c>
      <c r="AD93" s="323" t="e">
        <f t="shared" ca="1" si="55"/>
        <v>#N/A</v>
      </c>
      <c r="AE93" s="324">
        <f t="shared" ca="1" si="34"/>
        <v>55.810668136690488</v>
      </c>
      <c r="AG93" s="306">
        <f t="shared" ca="1" si="56"/>
        <v>144.91229667363385</v>
      </c>
      <c r="AH93" s="304">
        <f t="shared" ca="1" si="57"/>
        <v>154.54579245921656</v>
      </c>
    </row>
    <row r="94" spans="1:34" x14ac:dyDescent="0.2">
      <c r="A94" s="347">
        <f t="shared" ca="1" si="35"/>
        <v>0.01</v>
      </c>
      <c r="B94" s="304">
        <f t="shared" ca="1" si="36"/>
        <v>0.90000000000000058</v>
      </c>
      <c r="D94" s="306">
        <f t="shared" ca="1" si="37"/>
        <v>29.138841730053507</v>
      </c>
      <c r="E94" s="307">
        <f t="shared" ca="1" si="38"/>
        <v>141.60108445260866</v>
      </c>
      <c r="F94" s="304">
        <f t="shared" ca="1" si="39"/>
        <v>144.56811272035031</v>
      </c>
      <c r="G94" s="306">
        <f t="shared" ca="1" si="40"/>
        <v>24.844126712670366</v>
      </c>
      <c r="H94" s="307">
        <f t="shared" ca="1" si="41"/>
        <v>128.99681059020671</v>
      </c>
      <c r="I94" s="304">
        <f t="shared" ca="1" si="42"/>
        <v>131.36745325445295</v>
      </c>
      <c r="J94" s="306">
        <f t="shared" ca="1" si="43"/>
        <v>10.665104447656761</v>
      </c>
      <c r="K94" s="307">
        <f t="shared" ca="1" si="44"/>
        <v>57.093556188369924</v>
      </c>
      <c r="L94" s="304">
        <f t="shared" ca="1" si="29"/>
        <v>58.081138169925538</v>
      </c>
      <c r="M94" s="306">
        <f t="shared" ca="1" si="45"/>
        <v>1.3805310971233276</v>
      </c>
      <c r="N94" s="304">
        <f t="shared" ca="1" si="46"/>
        <v>79.09860535173182</v>
      </c>
      <c r="P94" s="310">
        <f t="shared" ca="1" si="47"/>
        <v>8</v>
      </c>
      <c r="Q94" s="304">
        <f t="shared" ca="1" si="48"/>
        <v>1281.7929999999997</v>
      </c>
      <c r="R94" s="306">
        <f t="shared" ca="1" si="49"/>
        <v>0.62991377374592439</v>
      </c>
      <c r="S94" s="307">
        <f t="shared" ca="1" si="50"/>
        <v>7.8900280687097606</v>
      </c>
      <c r="T94" s="304">
        <f t="shared" ca="1" si="30"/>
        <v>77.401175354042749</v>
      </c>
      <c r="U94" s="311">
        <f t="shared" ca="1" si="31"/>
        <v>0</v>
      </c>
      <c r="V94" s="306">
        <f t="shared" ca="1" si="32"/>
        <v>1.2180259480383013</v>
      </c>
      <c r="W94" s="304">
        <f t="shared" ca="1" si="33"/>
        <v>66.685014673969491</v>
      </c>
      <c r="Y94" s="314" t="str">
        <f t="shared" ca="1" si="51"/>
        <v/>
      </c>
      <c r="Z94" s="315" t="str">
        <f t="shared" ca="1" si="52"/>
        <v/>
      </c>
      <c r="AA94" s="316" t="str">
        <f t="shared" ca="1" si="53"/>
        <v/>
      </c>
      <c r="AC94" s="310" t="e">
        <f t="shared" ca="1" si="54"/>
        <v>#N/A</v>
      </c>
      <c r="AD94" s="323" t="e">
        <f t="shared" ca="1" si="55"/>
        <v>#N/A</v>
      </c>
      <c r="AE94" s="324">
        <f t="shared" ca="1" si="34"/>
        <v>57.093556188369924</v>
      </c>
      <c r="AG94" s="306">
        <f t="shared" ca="1" si="56"/>
        <v>144.55622527384668</v>
      </c>
      <c r="AH94" s="304">
        <f t="shared" ca="1" si="57"/>
        <v>154.18945681363593</v>
      </c>
    </row>
    <row r="95" spans="1:34" x14ac:dyDescent="0.2">
      <c r="A95" s="347">
        <f t="shared" ca="1" si="35"/>
        <v>0.01</v>
      </c>
      <c r="B95" s="304">
        <f t="shared" ca="1" si="36"/>
        <v>0.91000000000000059</v>
      </c>
      <c r="D95" s="306">
        <f t="shared" ca="1" si="37"/>
        <v>29.083614907270103</v>
      </c>
      <c r="E95" s="307">
        <f t="shared" ca="1" si="38"/>
        <v>141.19927502347221</v>
      </c>
      <c r="F95" s="304">
        <f t="shared" ca="1" si="39"/>
        <v>144.16342089180782</v>
      </c>
      <c r="G95" s="306">
        <f t="shared" ca="1" si="40"/>
        <v>25.134962861743066</v>
      </c>
      <c r="H95" s="307">
        <f t="shared" ca="1" si="41"/>
        <v>130.40880334044144</v>
      </c>
      <c r="I95" s="304">
        <f t="shared" ca="1" si="42"/>
        <v>132.80896937611982</v>
      </c>
      <c r="J95" s="306">
        <f t="shared" ca="1" si="43"/>
        <v>10.914999895528828</v>
      </c>
      <c r="K95" s="307">
        <f t="shared" ca="1" si="44"/>
        <v>58.390584258023168</v>
      </c>
      <c r="L95" s="304">
        <f t="shared" ca="1" si="29"/>
        <v>59.401999568303232</v>
      </c>
      <c r="M95" s="306">
        <f t="shared" ca="1" si="45"/>
        <v>1.3803914031863056</v>
      </c>
      <c r="N95" s="304">
        <f t="shared" ca="1" si="46"/>
        <v>79.090601478716891</v>
      </c>
      <c r="P95" s="310">
        <f t="shared" ca="1" si="47"/>
        <v>9</v>
      </c>
      <c r="Q95" s="304">
        <f t="shared" ca="1" si="48"/>
        <v>1279.0819999999997</v>
      </c>
      <c r="R95" s="306">
        <f t="shared" ca="1" si="49"/>
        <v>0.62858150227882692</v>
      </c>
      <c r="S95" s="307">
        <f t="shared" ca="1" si="50"/>
        <v>7.8837422536869726</v>
      </c>
      <c r="T95" s="304">
        <f t="shared" ca="1" si="30"/>
        <v>77.339511508669204</v>
      </c>
      <c r="U95" s="311">
        <f t="shared" ca="1" si="31"/>
        <v>0</v>
      </c>
      <c r="V95" s="306">
        <f t="shared" ca="1" si="32"/>
        <v>1.2178679755820276</v>
      </c>
      <c r="W95" s="304">
        <f t="shared" ca="1" si="33"/>
        <v>68.147695348873228</v>
      </c>
      <c r="Y95" s="314" t="str">
        <f t="shared" ca="1" si="51"/>
        <v/>
      </c>
      <c r="Z95" s="315" t="str">
        <f t="shared" ca="1" si="52"/>
        <v/>
      </c>
      <c r="AA95" s="316" t="str">
        <f t="shared" ca="1" si="53"/>
        <v/>
      </c>
      <c r="AC95" s="310" t="e">
        <f t="shared" ca="1" si="54"/>
        <v>#N/A</v>
      </c>
      <c r="AD95" s="323" t="e">
        <f t="shared" ca="1" si="55"/>
        <v>#N/A</v>
      </c>
      <c r="AE95" s="324">
        <f t="shared" ca="1" si="34"/>
        <v>58.390584258023168</v>
      </c>
      <c r="AG95" s="306">
        <f t="shared" ca="1" si="56"/>
        <v>144.15148258234331</v>
      </c>
      <c r="AH95" s="304">
        <f t="shared" ca="1" si="57"/>
        <v>153.78445239746785</v>
      </c>
    </row>
    <row r="96" spans="1:34" x14ac:dyDescent="0.2">
      <c r="A96" s="347">
        <f t="shared" ca="1" si="35"/>
        <v>0.01</v>
      </c>
      <c r="B96" s="304">
        <f t="shared" ca="1" si="36"/>
        <v>0.9200000000000006</v>
      </c>
      <c r="D96" s="306">
        <f t="shared" ca="1" si="37"/>
        <v>29.018835952596508</v>
      </c>
      <c r="E96" s="307">
        <f t="shared" ca="1" si="38"/>
        <v>140.74966828861486</v>
      </c>
      <c r="F96" s="304">
        <f t="shared" ca="1" si="39"/>
        <v>143.70999256627502</v>
      </c>
      <c r="G96" s="306">
        <f t="shared" ca="1" si="40"/>
        <v>25.425151221269029</v>
      </c>
      <c r="H96" s="307">
        <f t="shared" ca="1" si="41"/>
        <v>131.81630002332759</v>
      </c>
      <c r="I96" s="304">
        <f t="shared" ca="1" si="42"/>
        <v>134.24595065201896</v>
      </c>
      <c r="J96" s="306">
        <f t="shared" ca="1" si="43"/>
        <v>11.167800465943888</v>
      </c>
      <c r="K96" s="307">
        <f t="shared" ca="1" si="44"/>
        <v>59.701709774842016</v>
      </c>
      <c r="L96" s="304">
        <f t="shared" ca="1" si="29"/>
        <v>60.737253125957245</v>
      </c>
      <c r="M96" s="306">
        <f t="shared" ca="1" si="45"/>
        <v>1.3802531043087127</v>
      </c>
      <c r="N96" s="304">
        <f t="shared" ca="1" si="46"/>
        <v>79.082677536719416</v>
      </c>
      <c r="P96" s="310">
        <f t="shared" ca="1" si="47"/>
        <v>9</v>
      </c>
      <c r="Q96" s="304">
        <f t="shared" ca="1" si="48"/>
        <v>1276.0059999999996</v>
      </c>
      <c r="R96" s="306">
        <f t="shared" ca="1" si="49"/>
        <v>0.62706985822394257</v>
      </c>
      <c r="S96" s="307">
        <f t="shared" ca="1" si="50"/>
        <v>7.8774715551047327</v>
      </c>
      <c r="T96" s="304">
        <f t="shared" ca="1" si="30"/>
        <v>77.277995955577438</v>
      </c>
      <c r="U96" s="311">
        <f t="shared" ca="1" si="31"/>
        <v>0</v>
      </c>
      <c r="V96" s="306">
        <f t="shared" ca="1" si="32"/>
        <v>1.2177083068799031</v>
      </c>
      <c r="W96" s="304">
        <f t="shared" ca="1" si="33"/>
        <v>69.621248580377681</v>
      </c>
      <c r="Y96" s="314" t="str">
        <f t="shared" ca="1" si="51"/>
        <v/>
      </c>
      <c r="Z96" s="315" t="str">
        <f t="shared" ca="1" si="52"/>
        <v/>
      </c>
      <c r="AA96" s="316" t="str">
        <f t="shared" ca="1" si="53"/>
        <v/>
      </c>
      <c r="AC96" s="310" t="e">
        <f t="shared" ca="1" si="54"/>
        <v>#N/A</v>
      </c>
      <c r="AD96" s="323" t="e">
        <f t="shared" ca="1" si="55"/>
        <v>#N/A</v>
      </c>
      <c r="AE96" s="324">
        <f t="shared" ca="1" si="34"/>
        <v>59.701709774842016</v>
      </c>
      <c r="AG96" s="306">
        <f t="shared" ca="1" si="56"/>
        <v>143.69799920662138</v>
      </c>
      <c r="AH96" s="304">
        <f t="shared" ca="1" si="57"/>
        <v>153.33070975907418</v>
      </c>
    </row>
    <row r="97" spans="1:34" x14ac:dyDescent="0.2">
      <c r="A97" s="347">
        <f t="shared" ca="1" si="35"/>
        <v>0.01</v>
      </c>
      <c r="B97" s="304">
        <f t="shared" ca="1" si="36"/>
        <v>0.9300000000000006</v>
      </c>
      <c r="D97" s="306">
        <f t="shared" ca="1" si="37"/>
        <v>28.953268403592723</v>
      </c>
      <c r="E97" s="307">
        <f t="shared" ca="1" si="38"/>
        <v>140.29776853713508</v>
      </c>
      <c r="F97" s="304">
        <f t="shared" ca="1" si="39"/>
        <v>143.25416436442612</v>
      </c>
      <c r="G97" s="306">
        <f t="shared" ca="1" si="40"/>
        <v>25.714683905304955</v>
      </c>
      <c r="H97" s="307">
        <f t="shared" ca="1" si="41"/>
        <v>133.21927770869894</v>
      </c>
      <c r="I97" s="304">
        <f t="shared" ca="1" si="42"/>
        <v>135.67837307978454</v>
      </c>
      <c r="J97" s="306">
        <f t="shared" ca="1" si="43"/>
        <v>11.423499641576758</v>
      </c>
      <c r="K97" s="307">
        <f t="shared" ca="1" si="44"/>
        <v>61.026887663502151</v>
      </c>
      <c r="L97" s="304">
        <f t="shared" ca="1" si="29"/>
        <v>62.086853374565656</v>
      </c>
      <c r="M97" s="306">
        <f t="shared" ca="1" si="45"/>
        <v>1.3801161673332265</v>
      </c>
      <c r="N97" s="304">
        <f t="shared" ca="1" si="46"/>
        <v>79.074831625964777</v>
      </c>
      <c r="P97" s="310">
        <f t="shared" ca="1" si="47"/>
        <v>9</v>
      </c>
      <c r="Q97" s="304">
        <f t="shared" ca="1" si="48"/>
        <v>1272.9299999999996</v>
      </c>
      <c r="R97" s="306">
        <f t="shared" ca="1" si="49"/>
        <v>0.6255582141690581</v>
      </c>
      <c r="S97" s="307">
        <f t="shared" ca="1" si="50"/>
        <v>7.871215972963042</v>
      </c>
      <c r="T97" s="304">
        <f t="shared" ca="1" si="30"/>
        <v>77.216628694767451</v>
      </c>
      <c r="U97" s="311">
        <f t="shared" ca="1" si="31"/>
        <v>0</v>
      </c>
      <c r="V97" s="306">
        <f t="shared" ca="1" si="32"/>
        <v>1.2175469480893062</v>
      </c>
      <c r="W97" s="304">
        <f t="shared" ca="1" si="33"/>
        <v>71.10548788535003</v>
      </c>
      <c r="Y97" s="314" t="str">
        <f t="shared" ca="1" si="51"/>
        <v/>
      </c>
      <c r="Z97" s="315" t="str">
        <f t="shared" ca="1" si="52"/>
        <v/>
      </c>
      <c r="AA97" s="316" t="str">
        <f t="shared" ca="1" si="53"/>
        <v/>
      </c>
      <c r="AC97" s="310" t="e">
        <f t="shared" ca="1" si="54"/>
        <v>#N/A</v>
      </c>
      <c r="AD97" s="323" t="e">
        <f t="shared" ca="1" si="55"/>
        <v>#N/A</v>
      </c>
      <c r="AE97" s="324">
        <f t="shared" ca="1" si="34"/>
        <v>61.026887663502151</v>
      </c>
      <c r="AG97" s="306">
        <f t="shared" ca="1" si="56"/>
        <v>143.24211556631042</v>
      </c>
      <c r="AH97" s="304">
        <f t="shared" ca="1" si="57"/>
        <v>152.8745692600591</v>
      </c>
    </row>
    <row r="98" spans="1:34" x14ac:dyDescent="0.2">
      <c r="A98" s="347">
        <f t="shared" ca="1" si="35"/>
        <v>0.01</v>
      </c>
      <c r="B98" s="304">
        <f t="shared" ca="1" si="36"/>
        <v>0.94000000000000061</v>
      </c>
      <c r="D98" s="306">
        <f t="shared" ca="1" si="37"/>
        <v>28.886922049209648</v>
      </c>
      <c r="E98" s="307">
        <f t="shared" ca="1" si="38"/>
        <v>139.84359499633169</v>
      </c>
      <c r="F98" s="304">
        <f t="shared" ca="1" si="39"/>
        <v>142.79595696998973</v>
      </c>
      <c r="G98" s="306">
        <f t="shared" ca="1" si="40"/>
        <v>26.003553125797051</v>
      </c>
      <c r="H98" s="307">
        <f t="shared" ca="1" si="41"/>
        <v>134.61771365866227</v>
      </c>
      <c r="I98" s="304">
        <f t="shared" ca="1" si="42"/>
        <v>137.10621286379305</v>
      </c>
      <c r="J98" s="306">
        <f t="shared" ca="1" si="43"/>
        <v>11.682090826732267</v>
      </c>
      <c r="K98" s="307">
        <f t="shared" ca="1" si="44"/>
        <v>62.366072620338954</v>
      </c>
      <c r="L98" s="304">
        <f t="shared" ca="1" si="29"/>
        <v>63.450754606776854</v>
      </c>
      <c r="M98" s="306">
        <f t="shared" ca="1" si="45"/>
        <v>1.3799805602307074</v>
      </c>
      <c r="N98" s="304">
        <f t="shared" ca="1" si="46"/>
        <v>79.067061911318433</v>
      </c>
      <c r="P98" s="310">
        <f t="shared" ca="1" si="47"/>
        <v>9</v>
      </c>
      <c r="Q98" s="304">
        <f t="shared" ca="1" si="48"/>
        <v>1269.8539999999998</v>
      </c>
      <c r="R98" s="306">
        <f t="shared" ca="1" si="49"/>
        <v>0.62404657011417375</v>
      </c>
      <c r="S98" s="307">
        <f t="shared" ca="1" si="50"/>
        <v>7.8649755072619003</v>
      </c>
      <c r="T98" s="304">
        <f t="shared" ca="1" si="30"/>
        <v>77.155409726239242</v>
      </c>
      <c r="U98" s="311">
        <f t="shared" ca="1" si="31"/>
        <v>0</v>
      </c>
      <c r="V98" s="306">
        <f t="shared" ca="1" si="32"/>
        <v>1.2173839053994557</v>
      </c>
      <c r="W98" s="304">
        <f t="shared" ca="1" si="33"/>
        <v>72.600226449079699</v>
      </c>
      <c r="Y98" s="314" t="str">
        <f t="shared" ca="1" si="51"/>
        <v/>
      </c>
      <c r="Z98" s="315" t="str">
        <f t="shared" ca="1" si="52"/>
        <v/>
      </c>
      <c r="AA98" s="316" t="str">
        <f t="shared" ca="1" si="53"/>
        <v/>
      </c>
      <c r="AC98" s="310" t="e">
        <f t="shared" ca="1" si="54"/>
        <v>#N/A</v>
      </c>
      <c r="AD98" s="323" t="e">
        <f t="shared" ca="1" si="55"/>
        <v>#N/A</v>
      </c>
      <c r="AE98" s="324">
        <f t="shared" ca="1" si="34"/>
        <v>62.366072620338954</v>
      </c>
      <c r="AG98" s="306">
        <f t="shared" ca="1" si="56"/>
        <v>142.78385233658278</v>
      </c>
      <c r="AH98" s="304">
        <f t="shared" ca="1" si="57"/>
        <v>152.41605151952726</v>
      </c>
    </row>
    <row r="99" spans="1:34" x14ac:dyDescent="0.2">
      <c r="A99" s="347">
        <f t="shared" ca="1" si="35"/>
        <v>0.01</v>
      </c>
      <c r="B99" s="304">
        <f t="shared" ca="1" si="36"/>
        <v>0.95000000000000062</v>
      </c>
      <c r="D99" s="306">
        <f t="shared" ca="1" si="37"/>
        <v>28.819806505575773</v>
      </c>
      <c r="E99" s="307">
        <f t="shared" ca="1" si="38"/>
        <v>139.38716706009711</v>
      </c>
      <c r="F99" s="304">
        <f t="shared" ca="1" si="39"/>
        <v>142.33539120000427</v>
      </c>
      <c r="G99" s="306">
        <f t="shared" ca="1" si="40"/>
        <v>26.291751190852811</v>
      </c>
      <c r="H99" s="307">
        <f t="shared" ca="1" si="41"/>
        <v>136.01158532926323</v>
      </c>
      <c r="I99" s="304">
        <f t="shared" ca="1" si="42"/>
        <v>138.52944641649717</v>
      </c>
      <c r="J99" s="306">
        <f t="shared" ca="1" si="43"/>
        <v>11.943567348315517</v>
      </c>
      <c r="K99" s="307">
        <f t="shared" ca="1" si="44"/>
        <v>63.719219115278584</v>
      </c>
      <c r="L99" s="304">
        <f t="shared" ca="1" si="29"/>
        <v>64.8289108782851</v>
      </c>
      <c r="M99" s="306">
        <f t="shared" ca="1" si="45"/>
        <v>1.3798462520491666</v>
      </c>
      <c r="N99" s="304">
        <f t="shared" ca="1" si="46"/>
        <v>79.059366619362066</v>
      </c>
      <c r="P99" s="310">
        <f t="shared" ca="1" si="47"/>
        <v>9</v>
      </c>
      <c r="Q99" s="304">
        <f t="shared" ca="1" si="48"/>
        <v>1266.7779999999998</v>
      </c>
      <c r="R99" s="306">
        <f t="shared" ca="1" si="49"/>
        <v>0.6225349260592894</v>
      </c>
      <c r="S99" s="307">
        <f t="shared" ca="1" si="50"/>
        <v>7.8587501580013077</v>
      </c>
      <c r="T99" s="304">
        <f t="shared" ca="1" si="30"/>
        <v>77.094339049992826</v>
      </c>
      <c r="U99" s="311">
        <f t="shared" ca="1" si="31"/>
        <v>0</v>
      </c>
      <c r="V99" s="306">
        <f t="shared" ca="1" si="32"/>
        <v>1.2172191850310734</v>
      </c>
      <c r="W99" s="304">
        <f t="shared" ca="1" si="33"/>
        <v>74.105277149966156</v>
      </c>
      <c r="Y99" s="314" t="str">
        <f t="shared" ca="1" si="51"/>
        <v/>
      </c>
      <c r="Z99" s="315" t="str">
        <f t="shared" ca="1" si="52"/>
        <v/>
      </c>
      <c r="AA99" s="316" t="str">
        <f t="shared" ca="1" si="53"/>
        <v/>
      </c>
      <c r="AC99" s="310" t="e">
        <f t="shared" ca="1" si="54"/>
        <v>#N/A</v>
      </c>
      <c r="AD99" s="323" t="e">
        <f t="shared" ca="1" si="55"/>
        <v>#N/A</v>
      </c>
      <c r="AE99" s="324">
        <f t="shared" ca="1" si="34"/>
        <v>63.719219115278584</v>
      </c>
      <c r="AG99" s="306">
        <f t="shared" ca="1" si="56"/>
        <v>142.32323032594164</v>
      </c>
      <c r="AH99" s="304">
        <f t="shared" ca="1" si="57"/>
        <v>151.95517729178349</v>
      </c>
    </row>
    <row r="100" spans="1:34" x14ac:dyDescent="0.2">
      <c r="A100" s="347">
        <f t="shared" ca="1" si="35"/>
        <v>0.01</v>
      </c>
      <c r="B100" s="304">
        <f t="shared" ca="1" si="36"/>
        <v>0.96000000000000063</v>
      </c>
      <c r="D100" s="306">
        <f t="shared" ca="1" si="37"/>
        <v>28.751931224668699</v>
      </c>
      <c r="E100" s="307">
        <f t="shared" ca="1" si="38"/>
        <v>138.92850428440357</v>
      </c>
      <c r="F100" s="304">
        <f t="shared" ca="1" si="39"/>
        <v>141.87248800190127</v>
      </c>
      <c r="G100" s="306">
        <f t="shared" ca="1" si="40"/>
        <v>26.579270503099497</v>
      </c>
      <c r="H100" s="307">
        <f t="shared" ca="1" si="41"/>
        <v>137.40087037210725</v>
      </c>
      <c r="I100" s="304">
        <f t="shared" ca="1" si="42"/>
        <v>139.9480503597301</v>
      </c>
      <c r="J100" s="306">
        <f t="shared" ca="1" si="43"/>
        <v>12.207922456785278</v>
      </c>
      <c r="K100" s="307">
        <f t="shared" ca="1" si="44"/>
        <v>65.086281393785441</v>
      </c>
      <c r="L100" s="304">
        <f t="shared" ca="1" si="29"/>
        <v>66.221276009919222</v>
      </c>
      <c r="M100" s="306">
        <f t="shared" ca="1" si="45"/>
        <v>1.3797132128655971</v>
      </c>
      <c r="N100" s="304">
        <f t="shared" ca="1" si="46"/>
        <v>79.051744035633675</v>
      </c>
      <c r="P100" s="310">
        <f t="shared" ca="1" si="47"/>
        <v>9</v>
      </c>
      <c r="Q100" s="304">
        <f t="shared" ca="1" si="48"/>
        <v>1263.7019999999998</v>
      </c>
      <c r="R100" s="306">
        <f t="shared" ca="1" si="49"/>
        <v>0.62102328200440493</v>
      </c>
      <c r="S100" s="307">
        <f t="shared" ca="1" si="50"/>
        <v>7.8525399251812633</v>
      </c>
      <c r="T100" s="304">
        <f t="shared" ca="1" si="30"/>
        <v>77.033416666028202</v>
      </c>
      <c r="U100" s="311">
        <f t="shared" ca="1" si="31"/>
        <v>0</v>
      </c>
      <c r="V100" s="306">
        <f t="shared" ca="1" si="32"/>
        <v>1.217052793236048</v>
      </c>
      <c r="W100" s="304">
        <f t="shared" ca="1" si="33"/>
        <v>75.620452584170152</v>
      </c>
      <c r="Y100" s="314" t="str">
        <f t="shared" ca="1" si="51"/>
        <v/>
      </c>
      <c r="Z100" s="315" t="str">
        <f t="shared" ca="1" si="52"/>
        <v/>
      </c>
      <c r="AA100" s="316" t="str">
        <f t="shared" ca="1" si="53"/>
        <v/>
      </c>
      <c r="AC100" s="310" t="e">
        <f t="shared" ca="1" si="54"/>
        <v>#N/A</v>
      </c>
      <c r="AD100" s="323" t="e">
        <f t="shared" ca="1" si="55"/>
        <v>#N/A</v>
      </c>
      <c r="AE100" s="324">
        <f t="shared" ca="1" si="34"/>
        <v>65.086281393785441</v>
      </c>
      <c r="AG100" s="306">
        <f t="shared" ca="1" si="56"/>
        <v>141.8602704732983</v>
      </c>
      <c r="AH100" s="304">
        <f t="shared" ca="1" si="57"/>
        <v>151.49196746332666</v>
      </c>
    </row>
    <row r="101" spans="1:34" x14ac:dyDescent="0.2">
      <c r="A101" s="347">
        <f t="shared" ca="1" si="35"/>
        <v>0.01</v>
      </c>
      <c r="B101" s="304">
        <f t="shared" ca="1" si="36"/>
        <v>0.97000000000000064</v>
      </c>
      <c r="D101" s="306">
        <f t="shared" ca="1" si="37"/>
        <v>28.683305502464197</v>
      </c>
      <c r="E101" s="307">
        <f t="shared" ca="1" si="38"/>
        <v>138.46762638286282</v>
      </c>
      <c r="F101" s="304">
        <f t="shared" ca="1" si="39"/>
        <v>141.40726845057074</v>
      </c>
      <c r="G101" s="306">
        <f t="shared" ca="1" si="40"/>
        <v>26.866103558124138</v>
      </c>
      <c r="H101" s="307">
        <f t="shared" ca="1" si="41"/>
        <v>138.78554663593587</v>
      </c>
      <c r="I101" s="304">
        <f t="shared" ca="1" si="42"/>
        <v>141.36200152598073</v>
      </c>
      <c r="J101" s="306">
        <f t="shared" ca="1" si="43"/>
        <v>12.475149327091396</v>
      </c>
      <c r="K101" s="307">
        <f t="shared" ca="1" si="44"/>
        <v>66.467213478825656</v>
      </c>
      <c r="L101" s="304">
        <f t="shared" ca="1" si="29"/>
        <v>67.627803589744161</v>
      </c>
      <c r="M101" s="306">
        <f t="shared" ca="1" si="45"/>
        <v>1.3795814137404707</v>
      </c>
      <c r="N101" s="304">
        <f t="shared" ca="1" si="46"/>
        <v>79.044192502020408</v>
      </c>
      <c r="P101" s="310">
        <f t="shared" ca="1" si="47"/>
        <v>9</v>
      </c>
      <c r="Q101" s="304">
        <f t="shared" ca="1" si="48"/>
        <v>1260.6259999999997</v>
      </c>
      <c r="R101" s="306">
        <f t="shared" ca="1" si="49"/>
        <v>0.61951163794952047</v>
      </c>
      <c r="S101" s="307">
        <f t="shared" ca="1" si="50"/>
        <v>7.846344808801768</v>
      </c>
      <c r="T101" s="304">
        <f t="shared" ca="1" si="30"/>
        <v>76.972642574345343</v>
      </c>
      <c r="U101" s="311">
        <f t="shared" ca="1" si="31"/>
        <v>0</v>
      </c>
      <c r="V101" s="306">
        <f t="shared" ca="1" si="32"/>
        <v>1.2168847362970927</v>
      </c>
      <c r="W101" s="304">
        <f t="shared" ca="1" si="33"/>
        <v>77.145565090222604</v>
      </c>
      <c r="Y101" s="314" t="str">
        <f t="shared" ca="1" si="51"/>
        <v/>
      </c>
      <c r="Z101" s="315" t="str">
        <f t="shared" ca="1" si="52"/>
        <v/>
      </c>
      <c r="AA101" s="316" t="str">
        <f t="shared" ca="1" si="53"/>
        <v/>
      </c>
      <c r="AC101" s="310" t="e">
        <f t="shared" ca="1" si="54"/>
        <v>#N/A</v>
      </c>
      <c r="AD101" s="323" t="e">
        <f t="shared" ca="1" si="55"/>
        <v>#N/A</v>
      </c>
      <c r="AE101" s="324">
        <f t="shared" ca="1" si="34"/>
        <v>66.467213478825656</v>
      </c>
      <c r="AG101" s="306">
        <f t="shared" ca="1" si="56"/>
        <v>141.39499384503117</v>
      </c>
      <c r="AH101" s="304">
        <f t="shared" ca="1" si="57"/>
        <v>151.02644304983002</v>
      </c>
    </row>
    <row r="102" spans="1:34" x14ac:dyDescent="0.2">
      <c r="A102" s="347">
        <f t="shared" ca="1" si="35"/>
        <v>0.01</v>
      </c>
      <c r="B102" s="304">
        <f t="shared" ca="1" si="36"/>
        <v>0.98000000000000065</v>
      </c>
      <c r="D102" s="306">
        <f t="shared" ca="1" si="37"/>
        <v>28.613938486598471</v>
      </c>
      <c r="E102" s="307">
        <f t="shared" ca="1" si="38"/>
        <v>138.00455322235393</v>
      </c>
      <c r="F102" s="304">
        <f t="shared" ca="1" si="39"/>
        <v>140.93975374540838</v>
      </c>
      <c r="G102" s="306">
        <f t="shared" ca="1" si="40"/>
        <v>27.152242942990121</v>
      </c>
      <c r="H102" s="307">
        <f t="shared" ca="1" si="41"/>
        <v>140.16559216815941</v>
      </c>
      <c r="I102" s="304">
        <f t="shared" ca="1" si="42"/>
        <v>142.77127695963901</v>
      </c>
      <c r="J102" s="306">
        <f t="shared" ca="1" si="43"/>
        <v>12.745241059596967</v>
      </c>
      <c r="K102" s="307">
        <f t="shared" ca="1" si="44"/>
        <v>67.861969172846131</v>
      </c>
      <c r="L102" s="304">
        <f t="shared" ca="1" si="29"/>
        <v>69.048446975175011</v>
      </c>
      <c r="M102" s="306">
        <f t="shared" ca="1" si="45"/>
        <v>1.3794508266747301</v>
      </c>
      <c r="N102" s="304">
        <f t="shared" ca="1" si="46"/>
        <v>79.036710414294475</v>
      </c>
      <c r="P102" s="310">
        <f t="shared" ca="1" si="47"/>
        <v>9</v>
      </c>
      <c r="Q102" s="304">
        <f t="shared" ca="1" si="48"/>
        <v>1257.5499999999997</v>
      </c>
      <c r="R102" s="306">
        <f t="shared" ca="1" si="49"/>
        <v>0.61799999389463611</v>
      </c>
      <c r="S102" s="307">
        <f t="shared" ca="1" si="50"/>
        <v>7.8401648088628217</v>
      </c>
      <c r="T102" s="304">
        <f t="shared" ca="1" si="30"/>
        <v>76.912016774944291</v>
      </c>
      <c r="U102" s="311">
        <f t="shared" ca="1" si="31"/>
        <v>0</v>
      </c>
      <c r="V102" s="306">
        <f t="shared" ca="1" si="32"/>
        <v>1.2167150205274049</v>
      </c>
      <c r="W102" s="304">
        <f t="shared" ca="1" si="33"/>
        <v>78.680426773585808</v>
      </c>
      <c r="Y102" s="314" t="str">
        <f t="shared" ca="1" si="51"/>
        <v/>
      </c>
      <c r="Z102" s="315" t="str">
        <f t="shared" ca="1" si="52"/>
        <v/>
      </c>
      <c r="AA102" s="316" t="str">
        <f t="shared" ca="1" si="53"/>
        <v/>
      </c>
      <c r="AC102" s="310" t="e">
        <f t="shared" ca="1" si="54"/>
        <v>#N/A</v>
      </c>
      <c r="AD102" s="323" t="e">
        <f t="shared" ca="1" si="55"/>
        <v>#N/A</v>
      </c>
      <c r="AE102" s="324">
        <f t="shared" ca="1" si="34"/>
        <v>67.861969172846131</v>
      </c>
      <c r="AG102" s="306">
        <f t="shared" ca="1" si="56"/>
        <v>140.92742163202777</v>
      </c>
      <c r="AH102" s="304">
        <f t="shared" ca="1" si="57"/>
        <v>150.55862519310855</v>
      </c>
    </row>
    <row r="103" spans="1:34" x14ac:dyDescent="0.2">
      <c r="A103" s="347">
        <f t="shared" ca="1" si="35"/>
        <v>0.01</v>
      </c>
      <c r="B103" s="304">
        <f t="shared" ca="1" si="36"/>
        <v>0.99000000000000066</v>
      </c>
      <c r="D103" s="306">
        <f t="shared" ca="1" si="37"/>
        <v>28.543839183574839</v>
      </c>
      <c r="E103" s="307">
        <f t="shared" ca="1" si="38"/>
        <v>137.53930481871598</v>
      </c>
      <c r="F103" s="304">
        <f t="shared" ca="1" si="39"/>
        <v>140.46996520734763</v>
      </c>
      <c r="G103" s="306">
        <f t="shared" ca="1" si="40"/>
        <v>27.437681334825868</v>
      </c>
      <c r="H103" s="307">
        <f t="shared" ca="1" si="41"/>
        <v>141.54098521634657</v>
      </c>
      <c r="I103" s="304">
        <f t="shared" ca="1" si="42"/>
        <v>144.1758539182116</v>
      </c>
      <c r="J103" s="306">
        <f t="shared" ca="1" si="43"/>
        <v>13.018190680986047</v>
      </c>
      <c r="K103" s="307">
        <f t="shared" ca="1" si="44"/>
        <v>69.27050205976866</v>
      </c>
      <c r="L103" s="304">
        <f t="shared" ca="1" si="29"/>
        <v>70.483159295103434</v>
      </c>
      <c r="M103" s="306">
        <f t="shared" ca="1" si="45"/>
        <v>1.379321424569111</v>
      </c>
      <c r="N103" s="304">
        <f t="shared" ca="1" si="46"/>
        <v>79.029296219782395</v>
      </c>
      <c r="P103" s="310">
        <f t="shared" ca="1" si="47"/>
        <v>9</v>
      </c>
      <c r="Q103" s="304">
        <f t="shared" ca="1" si="48"/>
        <v>1254.4739999999997</v>
      </c>
      <c r="R103" s="306">
        <f t="shared" ca="1" si="49"/>
        <v>0.61648834983975165</v>
      </c>
      <c r="S103" s="307">
        <f t="shared" ca="1" si="50"/>
        <v>7.8339999253644246</v>
      </c>
      <c r="T103" s="304">
        <f t="shared" ca="1" si="30"/>
        <v>76.851539267825004</v>
      </c>
      <c r="U103" s="311">
        <f t="shared" ca="1" si="31"/>
        <v>0</v>
      </c>
      <c r="V103" s="306">
        <f t="shared" ca="1" si="32"/>
        <v>1.2165436522703199</v>
      </c>
      <c r="W103" s="304">
        <f t="shared" ca="1" si="33"/>
        <v>80.224849531160785</v>
      </c>
      <c r="Y103" s="314" t="str">
        <f t="shared" ca="1" si="51"/>
        <v/>
      </c>
      <c r="Z103" s="315" t="str">
        <f t="shared" ca="1" si="52"/>
        <v/>
      </c>
      <c r="AA103" s="316" t="str">
        <f t="shared" ca="1" si="53"/>
        <v/>
      </c>
      <c r="AC103" s="310" t="e">
        <f t="shared" ca="1" si="54"/>
        <v>#N/A</v>
      </c>
      <c r="AD103" s="323" t="e">
        <f t="shared" ca="1" si="55"/>
        <v>#N/A</v>
      </c>
      <c r="AE103" s="324">
        <f t="shared" ca="1" si="34"/>
        <v>69.27050205976866</v>
      </c>
      <c r="AG103" s="306">
        <f t="shared" ca="1" si="56"/>
        <v>140.45757514671092</v>
      </c>
      <c r="AH103" s="304">
        <f t="shared" ca="1" si="57"/>
        <v>150.08853515807482</v>
      </c>
    </row>
    <row r="104" spans="1:34" x14ac:dyDescent="0.2">
      <c r="A104" s="347">
        <f t="shared" ca="1" si="35"/>
        <v>0.01</v>
      </c>
      <c r="B104" s="304">
        <f t="shared" ca="1" si="36"/>
        <v>1.0000000000000007</v>
      </c>
      <c r="D104" s="306">
        <f t="shared" ca="1" si="37"/>
        <v>28.473016465544891</v>
      </c>
      <c r="E104" s="307">
        <f t="shared" ca="1" si="38"/>
        <v>137.07190133250035</v>
      </c>
      <c r="F104" s="304">
        <f t="shared" ca="1" si="39"/>
        <v>139.99792427587599</v>
      </c>
      <c r="G104" s="306">
        <f t="shared" ca="1" si="40"/>
        <v>27.722411499481318</v>
      </c>
      <c r="H104" s="307">
        <f t="shared" ca="1" si="41"/>
        <v>142.91170422967159</v>
      </c>
      <c r="I104" s="304">
        <f t="shared" ca="1" si="42"/>
        <v>145.57570987350778</v>
      </c>
      <c r="J104" s="306">
        <f t="shared" ca="1" si="43"/>
        <v>13.293991145157582</v>
      </c>
      <c r="K104" s="307">
        <f t="shared" ca="1" si="44"/>
        <v>70.692765506998754</v>
      </c>
      <c r="L104" s="304">
        <f t="shared" ca="1" si="29"/>
        <v>71.931893452035879</v>
      </c>
      <c r="M104" s="306">
        <f t="shared" ca="1" si="45"/>
        <v>1.3791931811856473</v>
      </c>
      <c r="N104" s="304">
        <f t="shared" ca="1" si="46"/>
        <v>79.021948415159443</v>
      </c>
      <c r="P104" s="310">
        <f t="shared" ca="1" si="47"/>
        <v>9</v>
      </c>
      <c r="Q104" s="304">
        <f t="shared" ca="1" si="48"/>
        <v>1251.3979999999997</v>
      </c>
      <c r="R104" s="306">
        <f t="shared" ca="1" si="49"/>
        <v>0.61497670578486718</v>
      </c>
      <c r="S104" s="307">
        <f t="shared" ca="1" si="50"/>
        <v>7.8278501583065756</v>
      </c>
      <c r="T104" s="304">
        <f t="shared" ca="1" si="30"/>
        <v>76.791210052987509</v>
      </c>
      <c r="U104" s="311">
        <f t="shared" ca="1" si="31"/>
        <v>0</v>
      </c>
      <c r="V104" s="306">
        <f t="shared" ca="1" si="32"/>
        <v>1.2163706378989669</v>
      </c>
      <c r="W104" s="304">
        <f t="shared" ca="1" si="33"/>
        <v>81.778645075736279</v>
      </c>
      <c r="Y104" s="314" t="str">
        <f t="shared" ca="1" si="51"/>
        <v/>
      </c>
      <c r="Z104" s="315" t="str">
        <f t="shared" ca="1" si="52"/>
        <v/>
      </c>
      <c r="AA104" s="316" t="str">
        <f t="shared" ca="1" si="53"/>
        <v/>
      </c>
      <c r="AC104" s="310">
        <f t="shared" ca="1" si="54"/>
        <v>1.0000000000000007</v>
      </c>
      <c r="AD104" s="323">
        <f t="shared" ca="1" si="55"/>
        <v>13.293991145157582</v>
      </c>
      <c r="AE104" s="324">
        <f t="shared" ca="1" si="34"/>
        <v>70.692765506998754</v>
      </c>
      <c r="AG104" s="306">
        <f t="shared" ca="1" si="56"/>
        <v>139.98547582004966</v>
      </c>
      <c r="AH104" s="304">
        <f t="shared" ca="1" si="57"/>
        <v>149.61619432968331</v>
      </c>
    </row>
    <row r="105" spans="1:34" x14ac:dyDescent="0.2">
      <c r="A105" s="347">
        <f t="shared" ca="1" si="35"/>
        <v>0.01</v>
      </c>
      <c r="B105" s="304">
        <f t="shared" ca="1" si="36"/>
        <v>1.0100000000000007</v>
      </c>
      <c r="D105" s="306">
        <f t="shared" ca="1" si="37"/>
        <v>28.400065933267367</v>
      </c>
      <c r="E105" s="307">
        <f t="shared" ca="1" si="38"/>
        <v>136.59507817417747</v>
      </c>
      <c r="F105" s="304">
        <f t="shared" ca="1" si="39"/>
        <v>139.51623248362031</v>
      </c>
      <c r="G105" s="306">
        <f t="shared" ca="1" si="40"/>
        <v>28.00641215881399</v>
      </c>
      <c r="H105" s="307">
        <f t="shared" ca="1" si="41"/>
        <v>144.27765501141337</v>
      </c>
      <c r="I105" s="304">
        <f t="shared" ca="1" si="42"/>
        <v>146.97074830591896</v>
      </c>
      <c r="J105" s="306">
        <f t="shared" ca="1" si="43"/>
        <v>13.572635263449058</v>
      </c>
      <c r="K105" s="307">
        <f t="shared" ca="1" si="44"/>
        <v>72.128712303204182</v>
      </c>
      <c r="L105" s="304">
        <f t="shared" ca="1" si="29"/>
        <v>73.394601753214928</v>
      </c>
      <c r="M105" s="306">
        <f t="shared" ca="1" si="45"/>
        <v>1.3790660710470344</v>
      </c>
      <c r="N105" s="304">
        <f t="shared" ca="1" si="46"/>
        <v>79.014665540683609</v>
      </c>
      <c r="P105" s="310">
        <f t="shared" ca="1" si="47"/>
        <v>10</v>
      </c>
      <c r="Q105" s="304">
        <f t="shared" ca="1" si="48"/>
        <v>1248.2639999999997</v>
      </c>
      <c r="R105" s="306">
        <f t="shared" ca="1" si="49"/>
        <v>0.61343655868863578</v>
      </c>
      <c r="S105" s="307">
        <f t="shared" ca="1" si="50"/>
        <v>7.8217157927196892</v>
      </c>
      <c r="T105" s="304">
        <f t="shared" ca="1" si="30"/>
        <v>76.731031926580158</v>
      </c>
      <c r="U105" s="311">
        <f t="shared" ca="1" si="31"/>
        <v>0</v>
      </c>
      <c r="V105" s="306">
        <f t="shared" ca="1" si="32"/>
        <v>1.2161959838602205</v>
      </c>
      <c r="W105" s="304">
        <f t="shared" ca="1" si="33"/>
        <v>83.341540803573395</v>
      </c>
      <c r="Y105" s="314" t="str">
        <f t="shared" ca="1" si="51"/>
        <v/>
      </c>
      <c r="Z105" s="315" t="str">
        <f t="shared" ca="1" si="52"/>
        <v/>
      </c>
      <c r="AA105" s="316" t="str">
        <f t="shared" ca="1" si="53"/>
        <v/>
      </c>
      <c r="AC105" s="310" t="e">
        <f t="shared" ca="1" si="54"/>
        <v>#N/A</v>
      </c>
      <c r="AD105" s="323" t="e">
        <f t="shared" ca="1" si="55"/>
        <v>#N/A</v>
      </c>
      <c r="AE105" s="324">
        <f t="shared" ca="1" si="34"/>
        <v>72.128712303204182</v>
      </c>
      <c r="AG105" s="306">
        <f t="shared" ca="1" si="56"/>
        <v>139.50372451089194</v>
      </c>
      <c r="AH105" s="304">
        <f t="shared" ca="1" si="57"/>
        <v>149.13420352219993</v>
      </c>
    </row>
    <row r="106" spans="1:34" x14ac:dyDescent="0.2">
      <c r="A106" s="347">
        <f t="shared" ca="1" si="35"/>
        <v>0.01</v>
      </c>
      <c r="B106" s="304">
        <f t="shared" ca="1" si="36"/>
        <v>1.0200000000000007</v>
      </c>
      <c r="D106" s="306">
        <f t="shared" ca="1" si="37"/>
        <v>28.324991147950101</v>
      </c>
      <c r="E106" s="307">
        <f t="shared" ca="1" si="38"/>
        <v>136.10884450858345</v>
      </c>
      <c r="F106" s="304">
        <f t="shared" ca="1" si="39"/>
        <v>139.0248994856432</v>
      </c>
      <c r="G106" s="306">
        <f t="shared" ca="1" si="40"/>
        <v>28.289662070293492</v>
      </c>
      <c r="H106" s="307">
        <f t="shared" ca="1" si="41"/>
        <v>145.63874345649921</v>
      </c>
      <c r="I106" s="304">
        <f t="shared" ca="1" si="42"/>
        <v>148.36087279211927</v>
      </c>
      <c r="J106" s="306">
        <f t="shared" ca="1" si="43"/>
        <v>13.854115634594596</v>
      </c>
      <c r="K106" s="307">
        <f t="shared" ca="1" si="44"/>
        <v>73.578294295543742</v>
      </c>
      <c r="L106" s="304">
        <f t="shared" ca="1" si="29"/>
        <v>74.87123554115</v>
      </c>
      <c r="M106" s="306">
        <f t="shared" ca="1" si="45"/>
        <v>1.3789400694065697</v>
      </c>
      <c r="N106" s="304">
        <f t="shared" ca="1" si="46"/>
        <v>79.007446178473245</v>
      </c>
      <c r="P106" s="310">
        <f t="shared" ca="1" si="47"/>
        <v>10</v>
      </c>
      <c r="Q106" s="304">
        <f t="shared" ca="1" si="48"/>
        <v>1245.0719999999997</v>
      </c>
      <c r="R106" s="306">
        <f t="shared" ca="1" si="49"/>
        <v>0.61186790855105744</v>
      </c>
      <c r="S106" s="307">
        <f t="shared" ca="1" si="50"/>
        <v>7.8155971136341789</v>
      </c>
      <c r="T106" s="304">
        <f t="shared" ca="1" si="30"/>
        <v>76.671007684751302</v>
      </c>
      <c r="U106" s="311">
        <f t="shared" ca="1" si="31"/>
        <v>0</v>
      </c>
      <c r="V106" s="306">
        <f t="shared" ca="1" si="32"/>
        <v>1.2160196967186807</v>
      </c>
      <c r="W106" s="304">
        <f t="shared" ca="1" si="33"/>
        <v>84.913260709127854</v>
      </c>
      <c r="Y106" s="314" t="str">
        <f t="shared" ca="1" si="51"/>
        <v/>
      </c>
      <c r="Z106" s="315" t="str">
        <f t="shared" ca="1" si="52"/>
        <v/>
      </c>
      <c r="AA106" s="316" t="str">
        <f t="shared" ca="1" si="53"/>
        <v/>
      </c>
      <c r="AC106" s="310" t="e">
        <f t="shared" ca="1" si="54"/>
        <v>#N/A</v>
      </c>
      <c r="AD106" s="323" t="e">
        <f t="shared" ca="1" si="55"/>
        <v>#N/A</v>
      </c>
      <c r="AE106" s="324">
        <f t="shared" ca="1" si="34"/>
        <v>73.578294295543742</v>
      </c>
      <c r="AG106" s="306">
        <f t="shared" ca="1" si="56"/>
        <v>139.01233084810352</v>
      </c>
      <c r="AH106" s="304">
        <f t="shared" ca="1" si="57"/>
        <v>148.64257232116108</v>
      </c>
    </row>
    <row r="107" spans="1:34" x14ac:dyDescent="0.2">
      <c r="A107" s="347">
        <f t="shared" ca="1" si="35"/>
        <v>0.01</v>
      </c>
      <c r="B107" s="304">
        <f t="shared" ca="1" si="36"/>
        <v>1.0300000000000007</v>
      </c>
      <c r="D107" s="306">
        <f t="shared" ca="1" si="37"/>
        <v>28.249212903799666</v>
      </c>
      <c r="E107" s="307">
        <f t="shared" ca="1" si="38"/>
        <v>135.62050605276548</v>
      </c>
      <c r="F107" s="304">
        <f t="shared" ca="1" si="39"/>
        <v>138.53136717614677</v>
      </c>
      <c r="G107" s="306">
        <f t="shared" ca="1" si="40"/>
        <v>28.572154199331489</v>
      </c>
      <c r="H107" s="307">
        <f t="shared" ca="1" si="41"/>
        <v>146.99494851702687</v>
      </c>
      <c r="I107" s="304">
        <f t="shared" ca="1" si="42"/>
        <v>149.74606133422594</v>
      </c>
      <c r="J107" s="306">
        <f t="shared" ca="1" si="43"/>
        <v>14.138424715942721</v>
      </c>
      <c r="K107" s="307">
        <f t="shared" ca="1" si="44"/>
        <v>75.041462755411374</v>
      </c>
      <c r="L107" s="304">
        <f t="shared" ca="1" si="29"/>
        <v>76.36174556622035</v>
      </c>
      <c r="M107" s="306">
        <f t="shared" ca="1" si="45"/>
        <v>1.3788151522815453</v>
      </c>
      <c r="N107" s="304">
        <f t="shared" ca="1" si="46"/>
        <v>79.000288954420441</v>
      </c>
      <c r="P107" s="310">
        <f t="shared" ca="1" si="47"/>
        <v>10</v>
      </c>
      <c r="Q107" s="304">
        <f t="shared" ca="1" si="48"/>
        <v>1241.8799999999997</v>
      </c>
      <c r="R107" s="306">
        <f t="shared" ca="1" si="49"/>
        <v>0.6102992584134791</v>
      </c>
      <c r="S107" s="307">
        <f t="shared" ca="1" si="50"/>
        <v>7.8094941210500437</v>
      </c>
      <c r="T107" s="304">
        <f t="shared" ca="1" si="30"/>
        <v>76.611137327500927</v>
      </c>
      <c r="U107" s="311">
        <f t="shared" ca="1" si="31"/>
        <v>0</v>
      </c>
      <c r="V107" s="306">
        <f t="shared" ca="1" si="32"/>
        <v>1.2158417831120372</v>
      </c>
      <c r="W107" s="304">
        <f t="shared" ca="1" si="33"/>
        <v>86.493611295936944</v>
      </c>
      <c r="Y107" s="314" t="str">
        <f t="shared" ca="1" si="51"/>
        <v/>
      </c>
      <c r="Z107" s="315" t="str">
        <f t="shared" ca="1" si="52"/>
        <v/>
      </c>
      <c r="AA107" s="316" t="str">
        <f t="shared" ca="1" si="53"/>
        <v/>
      </c>
      <c r="AC107" s="310" t="e">
        <f t="shared" ca="1" si="54"/>
        <v>#N/A</v>
      </c>
      <c r="AD107" s="323" t="e">
        <f t="shared" ca="1" si="55"/>
        <v>#N/A</v>
      </c>
      <c r="AE107" s="324">
        <f t="shared" ca="1" si="34"/>
        <v>75.041462755411374</v>
      </c>
      <c r="AG107" s="306">
        <f t="shared" ca="1" si="56"/>
        <v>138.51873737663269</v>
      </c>
      <c r="AH107" s="304">
        <f t="shared" ca="1" si="57"/>
        <v>148.14874322938977</v>
      </c>
    </row>
    <row r="108" spans="1:34" x14ac:dyDescent="0.2">
      <c r="A108" s="347">
        <f t="shared" ca="1" si="35"/>
        <v>0.01</v>
      </c>
      <c r="B108" s="304">
        <f t="shared" ca="1" si="36"/>
        <v>1.0400000000000007</v>
      </c>
      <c r="D108" s="306">
        <f t="shared" ca="1" si="37"/>
        <v>28.17273980498846</v>
      </c>
      <c r="E108" s="307">
        <f t="shared" ca="1" si="38"/>
        <v>135.13008426269687</v>
      </c>
      <c r="F108" s="304">
        <f t="shared" ca="1" si="39"/>
        <v>138.03565822266049</v>
      </c>
      <c r="G108" s="306">
        <f t="shared" ca="1" si="40"/>
        <v>28.853881597381374</v>
      </c>
      <c r="H108" s="307">
        <f t="shared" ca="1" si="41"/>
        <v>148.34624935965383</v>
      </c>
      <c r="I108" s="304">
        <f t="shared" ca="1" si="42"/>
        <v>151.12629216093504</v>
      </c>
      <c r="J108" s="306">
        <f t="shared" ca="1" si="43"/>
        <v>14.425554894926286</v>
      </c>
      <c r="K108" s="307">
        <f t="shared" ca="1" si="44"/>
        <v>76.518168744794778</v>
      </c>
      <c r="L108" s="304">
        <f t="shared" ca="1" si="29"/>
        <v>77.866082359930118</v>
      </c>
      <c r="M108" s="306">
        <f t="shared" ca="1" si="45"/>
        <v>1.3786912964218028</v>
      </c>
      <c r="N108" s="304">
        <f t="shared" ca="1" si="46"/>
        <v>78.99319253638923</v>
      </c>
      <c r="P108" s="310">
        <f t="shared" ca="1" si="47"/>
        <v>10</v>
      </c>
      <c r="Q108" s="304">
        <f t="shared" ca="1" si="48"/>
        <v>1238.6879999999996</v>
      </c>
      <c r="R108" s="306">
        <f t="shared" ca="1" si="49"/>
        <v>0.60873060827590064</v>
      </c>
      <c r="S108" s="307">
        <f t="shared" ca="1" si="50"/>
        <v>7.8034068149672846</v>
      </c>
      <c r="T108" s="304">
        <f t="shared" ca="1" si="30"/>
        <v>76.551420854829061</v>
      </c>
      <c r="U108" s="311">
        <f t="shared" ca="1" si="31"/>
        <v>0</v>
      </c>
      <c r="V108" s="306">
        <f t="shared" ca="1" si="32"/>
        <v>1.2156622497063958</v>
      </c>
      <c r="W108" s="304">
        <f t="shared" ca="1" si="33"/>
        <v>88.082399023389385</v>
      </c>
      <c r="Y108" s="314" t="str">
        <f t="shared" ca="1" si="51"/>
        <v/>
      </c>
      <c r="Z108" s="315" t="str">
        <f t="shared" ca="1" si="52"/>
        <v/>
      </c>
      <c r="AA108" s="316" t="str">
        <f t="shared" ca="1" si="53"/>
        <v/>
      </c>
      <c r="AC108" s="310" t="e">
        <f t="shared" ca="1" si="54"/>
        <v>#N/A</v>
      </c>
      <c r="AD108" s="323" t="e">
        <f t="shared" ca="1" si="55"/>
        <v>#N/A</v>
      </c>
      <c r="AE108" s="324">
        <f t="shared" ca="1" si="34"/>
        <v>76.518168744794778</v>
      </c>
      <c r="AG108" s="306">
        <f t="shared" ca="1" si="56"/>
        <v>138.02296675497561</v>
      </c>
      <c r="AH108" s="304">
        <f t="shared" ca="1" si="57"/>
        <v>147.65273886453056</v>
      </c>
    </row>
    <row r="109" spans="1:34" x14ac:dyDescent="0.2">
      <c r="A109" s="347">
        <f t="shared" ca="1" si="35"/>
        <v>0.01</v>
      </c>
      <c r="B109" s="304">
        <f t="shared" ca="1" si="36"/>
        <v>1.0500000000000007</v>
      </c>
      <c r="D109" s="306">
        <f t="shared" ca="1" si="37"/>
        <v>28.095580347366091</v>
      </c>
      <c r="E109" s="307">
        <f t="shared" ca="1" si="38"/>
        <v>134.63760071701466</v>
      </c>
      <c r="F109" s="304">
        <f t="shared" ca="1" si="39"/>
        <v>137.53779539417363</v>
      </c>
      <c r="G109" s="306">
        <f t="shared" ca="1" si="40"/>
        <v>29.134837400855034</v>
      </c>
      <c r="H109" s="307">
        <f t="shared" ca="1" si="41"/>
        <v>149.69262536682396</v>
      </c>
      <c r="I109" s="304">
        <f t="shared" ca="1" si="42"/>
        <v>152.50154372853598</v>
      </c>
      <c r="J109" s="306">
        <f t="shared" ca="1" si="43"/>
        <v>14.715498489917469</v>
      </c>
      <c r="K109" s="307">
        <f t="shared" ca="1" si="44"/>
        <v>78.00836311842717</v>
      </c>
      <c r="L109" s="304">
        <f t="shared" ca="1" si="29"/>
        <v>79.384196237180305</v>
      </c>
      <c r="M109" s="306">
        <f t="shared" ca="1" si="45"/>
        <v>1.3785684792798902</v>
      </c>
      <c r="N109" s="304">
        <f t="shared" ca="1" si="46"/>
        <v>78.986155632505785</v>
      </c>
      <c r="P109" s="310">
        <f t="shared" ca="1" si="47"/>
        <v>10</v>
      </c>
      <c r="Q109" s="304">
        <f t="shared" ca="1" si="48"/>
        <v>1235.4959999999996</v>
      </c>
      <c r="R109" s="306">
        <f t="shared" ca="1" si="49"/>
        <v>0.6071619581383223</v>
      </c>
      <c r="S109" s="307">
        <f t="shared" ca="1" si="50"/>
        <v>7.7973351953859016</v>
      </c>
      <c r="T109" s="304">
        <f t="shared" ca="1" si="30"/>
        <v>76.491858266735704</v>
      </c>
      <c r="U109" s="311">
        <f t="shared" ca="1" si="31"/>
        <v>0</v>
      </c>
      <c r="V109" s="306">
        <f t="shared" ca="1" si="32"/>
        <v>1.2154811031959116</v>
      </c>
      <c r="W109" s="304">
        <f t="shared" ca="1" si="33"/>
        <v>89.679430331520109</v>
      </c>
      <c r="Y109" s="314" t="str">
        <f t="shared" ca="1" si="51"/>
        <v/>
      </c>
      <c r="Z109" s="315" t="str">
        <f t="shared" ca="1" si="52"/>
        <v/>
      </c>
      <c r="AA109" s="316" t="str">
        <f t="shared" ca="1" si="53"/>
        <v/>
      </c>
      <c r="AC109" s="310" t="e">
        <f t="shared" ca="1" si="54"/>
        <v>#N/A</v>
      </c>
      <c r="AD109" s="323" t="e">
        <f t="shared" ca="1" si="55"/>
        <v>#N/A</v>
      </c>
      <c r="AE109" s="324">
        <f t="shared" ca="1" si="34"/>
        <v>78.00836311842717</v>
      </c>
      <c r="AG109" s="306">
        <f t="shared" ca="1" si="56"/>
        <v>137.52504174304616</v>
      </c>
      <c r="AH109" s="304">
        <f t="shared" ca="1" si="57"/>
        <v>147.15458194686769</v>
      </c>
    </row>
    <row r="110" spans="1:34" x14ac:dyDescent="0.2">
      <c r="A110" s="347">
        <f t="shared" ca="1" si="35"/>
        <v>0.01</v>
      </c>
      <c r="B110" s="304">
        <f t="shared" ca="1" si="36"/>
        <v>1.0600000000000007</v>
      </c>
      <c r="D110" s="306">
        <f t="shared" ca="1" si="37"/>
        <v>28.017742923273332</v>
      </c>
      <c r="E110" s="307">
        <f t="shared" ca="1" si="38"/>
        <v>134.14307711291536</v>
      </c>
      <c r="F110" s="304">
        <f t="shared" ca="1" si="39"/>
        <v>137.03780155795039</v>
      </c>
      <c r="G110" s="306">
        <f t="shared" ca="1" si="40"/>
        <v>29.415014830087767</v>
      </c>
      <c r="H110" s="307">
        <f t="shared" ca="1" si="41"/>
        <v>151.03405613795312</v>
      </c>
      <c r="I110" s="304">
        <f t="shared" ca="1" si="42"/>
        <v>153.87179472189391</v>
      </c>
      <c r="J110" s="306">
        <f t="shared" ca="1" si="43"/>
        <v>15.008247751072183</v>
      </c>
      <c r="K110" s="307">
        <f t="shared" ca="1" si="44"/>
        <v>79.511996525951048</v>
      </c>
      <c r="L110" s="304">
        <f t="shared" ca="1" si="29"/>
        <v>80.916037298550492</v>
      </c>
      <c r="M110" s="306">
        <f t="shared" ca="1" si="45"/>
        <v>1.3784466789827283</v>
      </c>
      <c r="N110" s="304">
        <f t="shared" ca="1" si="46"/>
        <v>78.979176989534977</v>
      </c>
      <c r="P110" s="310">
        <f t="shared" ca="1" si="47"/>
        <v>10</v>
      </c>
      <c r="Q110" s="304">
        <f t="shared" ca="1" si="48"/>
        <v>1232.3039999999996</v>
      </c>
      <c r="R110" s="306">
        <f t="shared" ca="1" si="49"/>
        <v>0.60559330800074396</v>
      </c>
      <c r="S110" s="307">
        <f t="shared" ca="1" si="50"/>
        <v>7.7912792623058937</v>
      </c>
      <c r="T110" s="304">
        <f t="shared" ca="1" si="30"/>
        <v>76.432449563220828</v>
      </c>
      <c r="U110" s="311">
        <f t="shared" ca="1" si="31"/>
        <v>0</v>
      </c>
      <c r="V110" s="306">
        <f t="shared" ca="1" si="32"/>
        <v>1.2152983503024235</v>
      </c>
      <c r="W110" s="304">
        <f t="shared" ca="1" si="33"/>
        <v>91.284511665700137</v>
      </c>
      <c r="Y110" s="314" t="str">
        <f t="shared" ca="1" si="51"/>
        <v/>
      </c>
      <c r="Z110" s="315" t="str">
        <f t="shared" ca="1" si="52"/>
        <v/>
      </c>
      <c r="AA110" s="316" t="str">
        <f t="shared" ca="1" si="53"/>
        <v/>
      </c>
      <c r="AC110" s="310" t="e">
        <f t="shared" ca="1" si="54"/>
        <v>#N/A</v>
      </c>
      <c r="AD110" s="323" t="e">
        <f t="shared" ca="1" si="55"/>
        <v>#N/A</v>
      </c>
      <c r="AE110" s="324">
        <f t="shared" ca="1" si="34"/>
        <v>79.511996525951048</v>
      </c>
      <c r="AG110" s="306">
        <f t="shared" ca="1" si="56"/>
        <v>137.02498519898589</v>
      </c>
      <c r="AH110" s="304">
        <f t="shared" ca="1" si="57"/>
        <v>146.65429529608599</v>
      </c>
    </row>
    <row r="111" spans="1:34" x14ac:dyDescent="0.2">
      <c r="A111" s="347">
        <f t="shared" ca="1" si="35"/>
        <v>0.01</v>
      </c>
      <c r="B111" s="304">
        <f t="shared" ca="1" si="36"/>
        <v>1.0700000000000007</v>
      </c>
      <c r="D111" s="306">
        <f t="shared" ca="1" si="37"/>
        <v>27.939235826078662</v>
      </c>
      <c r="E111" s="307">
        <f t="shared" ca="1" si="38"/>
        <v>133.64653526209298</v>
      </c>
      <c r="F111" s="304">
        <f t="shared" ca="1" si="39"/>
        <v>136.53569967633777</v>
      </c>
      <c r="G111" s="306">
        <f t="shared" ca="1" si="40"/>
        <v>29.694407188348553</v>
      </c>
      <c r="H111" s="307">
        <f t="shared" ca="1" si="41"/>
        <v>152.37052149057405</v>
      </c>
      <c r="I111" s="304">
        <f t="shared" ca="1" si="42"/>
        <v>155.23702405540033</v>
      </c>
      <c r="J111" s="306">
        <f t="shared" ca="1" si="43"/>
        <v>15.303794861164365</v>
      </c>
      <c r="K111" s="307">
        <f t="shared" ca="1" si="44"/>
        <v>81.029019414093682</v>
      </c>
      <c r="L111" s="304">
        <f t="shared" ca="1" si="29"/>
        <v>82.461555432590345</v>
      </c>
      <c r="M111" s="306">
        <f t="shared" ca="1" si="45"/>
        <v>1.3783258743046909</v>
      </c>
      <c r="N111" s="304">
        <f t="shared" ca="1" si="46"/>
        <v>78.972255391337995</v>
      </c>
      <c r="P111" s="310">
        <f t="shared" ca="1" si="47"/>
        <v>10</v>
      </c>
      <c r="Q111" s="304">
        <f t="shared" ca="1" si="48"/>
        <v>1229.1119999999999</v>
      </c>
      <c r="R111" s="306">
        <f t="shared" ca="1" si="49"/>
        <v>0.60402465786316573</v>
      </c>
      <c r="S111" s="307">
        <f t="shared" ca="1" si="50"/>
        <v>7.785239015727262</v>
      </c>
      <c r="T111" s="304">
        <f t="shared" ca="1" si="30"/>
        <v>76.373194744284447</v>
      </c>
      <c r="U111" s="311">
        <f t="shared" ca="1" si="31"/>
        <v>0</v>
      </c>
      <c r="V111" s="306">
        <f t="shared" ca="1" si="32"/>
        <v>1.2151139977750842</v>
      </c>
      <c r="W111" s="304">
        <f t="shared" ca="1" si="33"/>
        <v>92.897449501216869</v>
      </c>
      <c r="Y111" s="314" t="str">
        <f t="shared" ca="1" si="51"/>
        <v/>
      </c>
      <c r="Z111" s="315" t="str">
        <f t="shared" ca="1" si="52"/>
        <v/>
      </c>
      <c r="AA111" s="316" t="str">
        <f t="shared" ca="1" si="53"/>
        <v/>
      </c>
      <c r="AC111" s="310" t="e">
        <f t="shared" ca="1" si="54"/>
        <v>#N/A</v>
      </c>
      <c r="AD111" s="323" t="e">
        <f t="shared" ca="1" si="55"/>
        <v>#N/A</v>
      </c>
      <c r="AE111" s="324">
        <f t="shared" ca="1" si="34"/>
        <v>81.029019414093682</v>
      </c>
      <c r="AG111" s="306">
        <f t="shared" ca="1" si="56"/>
        <v>136.52282007596736</v>
      </c>
      <c r="AH111" s="304">
        <f t="shared" ca="1" si="57"/>
        <v>146.15190182802743</v>
      </c>
    </row>
    <row r="112" spans="1:34" x14ac:dyDescent="0.2">
      <c r="A112" s="347">
        <f t="shared" ca="1" si="35"/>
        <v>0.01</v>
      </c>
      <c r="B112" s="304">
        <f t="shared" ca="1" si="36"/>
        <v>1.0800000000000007</v>
      </c>
      <c r="D112" s="306">
        <f t="shared" ca="1" si="37"/>
        <v>27.860067254454581</v>
      </c>
      <c r="E112" s="307">
        <f t="shared" ca="1" si="38"/>
        <v>133.14799708671666</v>
      </c>
      <c r="F112" s="304">
        <f t="shared" ca="1" si="39"/>
        <v>136.0315128035671</v>
      </c>
      <c r="G112" s="306">
        <f t="shared" ca="1" si="40"/>
        <v>29.973007860893098</v>
      </c>
      <c r="H112" s="307">
        <f t="shared" ca="1" si="41"/>
        <v>153.70200146144123</v>
      </c>
      <c r="I112" s="304">
        <f t="shared" ca="1" si="42"/>
        <v>156.5972108738915</v>
      </c>
      <c r="J112" s="306">
        <f t="shared" ca="1" si="43"/>
        <v>15.602131936410572</v>
      </c>
      <c r="K112" s="307">
        <f t="shared" ca="1" si="44"/>
        <v>82.559382028853761</v>
      </c>
      <c r="L112" s="304">
        <f t="shared" ca="1" si="29"/>
        <v>84.020700318120319</v>
      </c>
      <c r="M112" s="306">
        <f t="shared" ca="1" si="45"/>
        <v>1.3782060446420206</v>
      </c>
      <c r="N112" s="304">
        <f t="shared" ca="1" si="46"/>
        <v>78.965389657406504</v>
      </c>
      <c r="P112" s="310">
        <f t="shared" ca="1" si="47"/>
        <v>10</v>
      </c>
      <c r="Q112" s="304">
        <f t="shared" ca="1" si="48"/>
        <v>1225.9199999999998</v>
      </c>
      <c r="R112" s="306">
        <f t="shared" ca="1" si="49"/>
        <v>0.60245600772558727</v>
      </c>
      <c r="S112" s="307">
        <f t="shared" ca="1" si="50"/>
        <v>7.7792144556500062</v>
      </c>
      <c r="T112" s="304">
        <f t="shared" ca="1" si="30"/>
        <v>76.314093809926561</v>
      </c>
      <c r="U112" s="311">
        <f t="shared" ca="1" si="31"/>
        <v>0</v>
      </c>
      <c r="V112" s="306">
        <f t="shared" ca="1" si="32"/>
        <v>1.214928052389991</v>
      </c>
      <c r="W112" s="304">
        <f t="shared" ca="1" si="33"/>
        <v>94.518050367738851</v>
      </c>
      <c r="Y112" s="314" t="str">
        <f t="shared" ca="1" si="51"/>
        <v/>
      </c>
      <c r="Z112" s="315" t="str">
        <f t="shared" ca="1" si="52"/>
        <v/>
      </c>
      <c r="AA112" s="316" t="str">
        <f t="shared" ca="1" si="53"/>
        <v/>
      </c>
      <c r="AC112" s="310" t="e">
        <f t="shared" ca="1" si="54"/>
        <v>#N/A</v>
      </c>
      <c r="AD112" s="323" t="e">
        <f t="shared" ca="1" si="55"/>
        <v>#N/A</v>
      </c>
      <c r="AE112" s="324">
        <f t="shared" ca="1" si="34"/>
        <v>82.559382028853761</v>
      </c>
      <c r="AG112" s="306">
        <f t="shared" ca="1" si="56"/>
        <v>136.01856941899075</v>
      </c>
      <c r="AH112" s="304">
        <f t="shared" ca="1" si="57"/>
        <v>145.64742455144349</v>
      </c>
    </row>
    <row r="113" spans="1:34" x14ac:dyDescent="0.2">
      <c r="A113" s="347">
        <f t="shared" ca="1" si="35"/>
        <v>0.01</v>
      </c>
      <c r="B113" s="304">
        <f t="shared" ca="1" si="36"/>
        <v>1.0900000000000007</v>
      </c>
      <c r="D113" s="306">
        <f t="shared" ca="1" si="37"/>
        <v>27.78024531640866</v>
      </c>
      <c r="E113" s="307">
        <f t="shared" ca="1" si="38"/>
        <v>132.6474846154467</v>
      </c>
      <c r="F113" s="304">
        <f t="shared" ca="1" si="39"/>
        <v>135.52526408255036</v>
      </c>
      <c r="G113" s="306">
        <f t="shared" ca="1" si="40"/>
        <v>30.250810314057183</v>
      </c>
      <c r="H113" s="307">
        <f t="shared" ca="1" si="41"/>
        <v>155.0284763075957</v>
      </c>
      <c r="I113" s="304">
        <f t="shared" ca="1" si="42"/>
        <v>157.95233455353494</v>
      </c>
      <c r="J113" s="306">
        <f t="shared" ca="1" si="43"/>
        <v>15.903251027285323</v>
      </c>
      <c r="K113" s="307">
        <f t="shared" ca="1" si="44"/>
        <v>84.10303441769895</v>
      </c>
      <c r="L113" s="304">
        <f t="shared" ca="1" si="29"/>
        <v>85.59342142654134</v>
      </c>
      <c r="M113" s="306">
        <f t="shared" ca="1" si="45"/>
        <v>1.3780871699884967</v>
      </c>
      <c r="N113" s="304">
        <f t="shared" ca="1" si="46"/>
        <v>78.958578641468506</v>
      </c>
      <c r="P113" s="310">
        <f t="shared" ca="1" si="47"/>
        <v>10</v>
      </c>
      <c r="Q113" s="304">
        <f t="shared" ca="1" si="48"/>
        <v>1222.7279999999998</v>
      </c>
      <c r="R113" s="306">
        <f t="shared" ca="1" si="49"/>
        <v>0.60088735758800893</v>
      </c>
      <c r="S113" s="307">
        <f t="shared" ca="1" si="50"/>
        <v>7.7732055820741266</v>
      </c>
      <c r="T113" s="304">
        <f t="shared" ca="1" si="30"/>
        <v>76.255146760147184</v>
      </c>
      <c r="U113" s="311">
        <f t="shared" ca="1" si="31"/>
        <v>0</v>
      </c>
      <c r="V113" s="306">
        <f t="shared" ca="1" si="32"/>
        <v>1.2147405209498154</v>
      </c>
      <c r="W113" s="304">
        <f t="shared" ca="1" si="33"/>
        <v>96.146120873660678</v>
      </c>
      <c r="Y113" s="314" t="str">
        <f t="shared" ca="1" si="51"/>
        <v/>
      </c>
      <c r="Z113" s="315" t="str">
        <f t="shared" ca="1" si="52"/>
        <v/>
      </c>
      <c r="AA113" s="316" t="str">
        <f t="shared" ca="1" si="53"/>
        <v/>
      </c>
      <c r="AC113" s="310" t="e">
        <f t="shared" ca="1" si="54"/>
        <v>#N/A</v>
      </c>
      <c r="AD113" s="323" t="e">
        <f t="shared" ca="1" si="55"/>
        <v>#N/A</v>
      </c>
      <c r="AE113" s="324">
        <f t="shared" ca="1" si="34"/>
        <v>84.10303441769895</v>
      </c>
      <c r="AG113" s="306">
        <f t="shared" ca="1" si="56"/>
        <v>135.51225636167553</v>
      </c>
      <c r="AH113" s="304">
        <f t="shared" ca="1" si="57"/>
        <v>145.14088656474468</v>
      </c>
    </row>
    <row r="114" spans="1:34" x14ac:dyDescent="0.2">
      <c r="A114" s="347">
        <f t="shared" ca="1" si="35"/>
        <v>0.01</v>
      </c>
      <c r="B114" s="304">
        <f t="shared" ca="1" si="36"/>
        <v>1.1000000000000008</v>
      </c>
      <c r="D114" s="306">
        <f t="shared" ca="1" si="37"/>
        <v>27.69977803308419</v>
      </c>
      <c r="E114" s="307">
        <f t="shared" ca="1" si="38"/>
        <v>132.14501997948682</v>
      </c>
      <c r="F114" s="304">
        <f t="shared" ca="1" si="39"/>
        <v>135.01697674167164</v>
      </c>
      <c r="G114" s="306">
        <f t="shared" ca="1" si="40"/>
        <v>30.527808094388025</v>
      </c>
      <c r="H114" s="307">
        <f t="shared" ca="1" si="41"/>
        <v>156.34992650739056</v>
      </c>
      <c r="I114" s="304">
        <f t="shared" ca="1" si="42"/>
        <v>159.30237470268361</v>
      </c>
      <c r="J114" s="306">
        <f t="shared" ca="1" si="43"/>
        <v>16.207144119327548</v>
      </c>
      <c r="K114" s="307">
        <f t="shared" ca="1" si="44"/>
        <v>85.659926431773883</v>
      </c>
      <c r="L114" s="304">
        <f t="shared" ca="1" si="29"/>
        <v>87.179668024153244</v>
      </c>
      <c r="M114" s="306">
        <f t="shared" ca="1" si="45"/>
        <v>1.3779692309122848</v>
      </c>
      <c r="N114" s="304">
        <f t="shared" ca="1" si="46"/>
        <v>78.951821230161897</v>
      </c>
      <c r="P114" s="310">
        <f t="shared" ca="1" si="47"/>
        <v>10</v>
      </c>
      <c r="Q114" s="304">
        <f t="shared" ca="1" si="48"/>
        <v>1219.5359999999998</v>
      </c>
      <c r="R114" s="306">
        <f t="shared" ca="1" si="49"/>
        <v>0.59931870745043059</v>
      </c>
      <c r="S114" s="307">
        <f t="shared" ca="1" si="50"/>
        <v>7.7672123949996221</v>
      </c>
      <c r="T114" s="304">
        <f t="shared" ca="1" si="30"/>
        <v>76.196353594946302</v>
      </c>
      <c r="U114" s="311">
        <f t="shared" ca="1" si="31"/>
        <v>0</v>
      </c>
      <c r="V114" s="306">
        <f t="shared" ca="1" si="32"/>
        <v>1.2145514102834296</v>
      </c>
      <c r="W114" s="304">
        <f t="shared" ca="1" si="33"/>
        <v>97.781467730321793</v>
      </c>
      <c r="Y114" s="314" t="str">
        <f t="shared" ca="1" si="51"/>
        <v/>
      </c>
      <c r="Z114" s="315" t="str">
        <f t="shared" ca="1" si="52"/>
        <v/>
      </c>
      <c r="AA114" s="316" t="str">
        <f t="shared" ca="1" si="53"/>
        <v/>
      </c>
      <c r="AC114" s="310" t="e">
        <f t="shared" ca="1" si="54"/>
        <v>#N/A</v>
      </c>
      <c r="AD114" s="323" t="e">
        <f t="shared" ca="1" si="55"/>
        <v>#N/A</v>
      </c>
      <c r="AE114" s="324">
        <f t="shared" ca="1" si="34"/>
        <v>85.659926431773883</v>
      </c>
      <c r="AG114" s="306">
        <f t="shared" ca="1" si="56"/>
        <v>135.00390412304745</v>
      </c>
      <c r="AH114" s="304">
        <f t="shared" ca="1" si="57"/>
        <v>144.63231105274724</v>
      </c>
    </row>
    <row r="115" spans="1:34" x14ac:dyDescent="0.2">
      <c r="A115" s="347">
        <f t="shared" ca="1" si="35"/>
        <v>0.01</v>
      </c>
      <c r="B115" s="304">
        <f t="shared" ca="1" si="36"/>
        <v>1.1100000000000008</v>
      </c>
      <c r="D115" s="306">
        <f t="shared" ca="1" si="37"/>
        <v>27.635067576723316</v>
      </c>
      <c r="E115" s="307">
        <f t="shared" ca="1" si="38"/>
        <v>131.72458942378995</v>
      </c>
      <c r="F115" s="304">
        <f t="shared" ca="1" si="39"/>
        <v>134.59221529804799</v>
      </c>
      <c r="G115" s="306">
        <f t="shared" ca="1" si="40"/>
        <v>30.804158770155258</v>
      </c>
      <c r="H115" s="307">
        <f t="shared" ca="1" si="41"/>
        <v>157.66717240162848</v>
      </c>
      <c r="I115" s="304">
        <f t="shared" ca="1" si="42"/>
        <v>160.64816665826527</v>
      </c>
      <c r="J115" s="306">
        <f t="shared" ca="1" si="43"/>
        <v>16.513803953650264</v>
      </c>
      <c r="K115" s="307">
        <f t="shared" ca="1" si="44"/>
        <v>87.23001192631898</v>
      </c>
      <c r="L115" s="304">
        <f t="shared" ca="1" si="29"/>
        <v>88.779393451889192</v>
      </c>
      <c r="M115" s="306">
        <f t="shared" ca="1" si="45"/>
        <v>1.3778522091570751</v>
      </c>
      <c r="N115" s="304">
        <f t="shared" ca="1" si="46"/>
        <v>78.945116377477163</v>
      </c>
      <c r="P115" s="310">
        <f t="shared" ca="1" si="47"/>
        <v>11</v>
      </c>
      <c r="Q115" s="304">
        <f t="shared" ca="1" si="48"/>
        <v>1217.0074999999999</v>
      </c>
      <c r="R115" s="306">
        <f t="shared" ca="1" si="49"/>
        <v>0.59807612227722673</v>
      </c>
      <c r="S115" s="307">
        <f t="shared" ca="1" si="50"/>
        <v>7.7612316337768501</v>
      </c>
      <c r="T115" s="304">
        <f t="shared" ca="1" si="30"/>
        <v>76.137682327350902</v>
      </c>
      <c r="U115" s="311">
        <f t="shared" ca="1" si="31"/>
        <v>0</v>
      </c>
      <c r="V115" s="306">
        <f t="shared" ca="1" si="32"/>
        <v>1.2143607267357124</v>
      </c>
      <c r="W115" s="304">
        <f t="shared" ca="1" si="33"/>
        <v>99.424956661884892</v>
      </c>
      <c r="Y115" s="314" t="str">
        <f t="shared" ca="1" si="51"/>
        <v/>
      </c>
      <c r="Z115" s="315" t="str">
        <f t="shared" ca="1" si="52"/>
        <v/>
      </c>
      <c r="AA115" s="316" t="str">
        <f t="shared" ca="1" si="53"/>
        <v/>
      </c>
      <c r="AC115" s="310" t="e">
        <f t="shared" ca="1" si="54"/>
        <v>#N/A</v>
      </c>
      <c r="AD115" s="323" t="e">
        <f t="shared" ca="1" si="55"/>
        <v>#N/A</v>
      </c>
      <c r="AE115" s="324">
        <f t="shared" ca="1" si="34"/>
        <v>87.23001192631898</v>
      </c>
      <c r="AG115" s="306">
        <f t="shared" ca="1" si="56"/>
        <v>134.57908556163068</v>
      </c>
      <c r="AH115" s="304">
        <f t="shared" ca="1" si="57"/>
        <v>144.20727084072723</v>
      </c>
    </row>
    <row r="116" spans="1:34" x14ac:dyDescent="0.2">
      <c r="A116" s="347">
        <f t="shared" ca="1" si="35"/>
        <v>0.01</v>
      </c>
      <c r="B116" s="304">
        <f t="shared" ca="1" si="36"/>
        <v>1.1200000000000008</v>
      </c>
      <c r="D116" s="306">
        <f t="shared" ca="1" si="37"/>
        <v>27.586174360387517</v>
      </c>
      <c r="E116" s="307">
        <f t="shared" ca="1" si="38"/>
        <v>131.38632810731295</v>
      </c>
      <c r="F116" s="304">
        <f t="shared" ca="1" si="39"/>
        <v>134.25112375456749</v>
      </c>
      <c r="G116" s="306">
        <f t="shared" ca="1" si="40"/>
        <v>31.080020513759134</v>
      </c>
      <c r="H116" s="307">
        <f t="shared" ca="1" si="41"/>
        <v>158.98103568270162</v>
      </c>
      <c r="I116" s="304">
        <f t="shared" ca="1" si="42"/>
        <v>161.99054719915028</v>
      </c>
      <c r="J116" s="306">
        <f t="shared" ca="1" si="43"/>
        <v>16.823224850069835</v>
      </c>
      <c r="K116" s="307">
        <f t="shared" ca="1" si="44"/>
        <v>88.813252966740635</v>
      </c>
      <c r="L116" s="304">
        <f t="shared" ca="1" si="29"/>
        <v>90.392559411105694</v>
      </c>
      <c r="M116" s="306">
        <f t="shared" ca="1" si="45"/>
        <v>1.3777360875826938</v>
      </c>
      <c r="N116" s="304">
        <f t="shared" ca="1" si="46"/>
        <v>78.938463101354699</v>
      </c>
      <c r="P116" s="310">
        <f t="shared" ca="1" si="47"/>
        <v>11</v>
      </c>
      <c r="Q116" s="304">
        <f t="shared" ca="1" si="48"/>
        <v>1215.1424999999999</v>
      </c>
      <c r="R116" s="306">
        <f t="shared" ca="1" si="49"/>
        <v>0.59715960206839724</v>
      </c>
      <c r="S116" s="307">
        <f t="shared" ca="1" si="50"/>
        <v>7.755260037756166</v>
      </c>
      <c r="T116" s="304">
        <f t="shared" ca="1" si="30"/>
        <v>76.079100970387998</v>
      </c>
      <c r="U116" s="311">
        <f t="shared" ca="1" si="31"/>
        <v>0</v>
      </c>
      <c r="V116" s="306">
        <f t="shared" ca="1" si="32"/>
        <v>1.214168475657148</v>
      </c>
      <c r="W116" s="304">
        <f t="shared" ca="1" si="33"/>
        <v>101.07748964726797</v>
      </c>
      <c r="Y116" s="314" t="str">
        <f t="shared" ca="1" si="51"/>
        <v/>
      </c>
      <c r="Z116" s="315" t="str">
        <f t="shared" ca="1" si="52"/>
        <v/>
      </c>
      <c r="AA116" s="316" t="str">
        <f t="shared" ca="1" si="53"/>
        <v/>
      </c>
      <c r="AC116" s="310" t="e">
        <f t="shared" ca="1" si="54"/>
        <v>#N/A</v>
      </c>
      <c r="AD116" s="323" t="e">
        <f t="shared" ca="1" si="55"/>
        <v>#N/A</v>
      </c>
      <c r="AE116" s="324">
        <f t="shared" ca="1" si="34"/>
        <v>88.813252966740635</v>
      </c>
      <c r="AG116" s="306">
        <f t="shared" ca="1" si="56"/>
        <v>134.23794487269168</v>
      </c>
      <c r="AH116" s="304">
        <f t="shared" ca="1" si="57"/>
        <v>143.86591009280022</v>
      </c>
    </row>
    <row r="117" spans="1:34" x14ac:dyDescent="0.2">
      <c r="A117" s="347">
        <f t="shared" ca="1" si="35"/>
        <v>0.01</v>
      </c>
      <c r="B117" s="304">
        <f t="shared" ca="1" si="36"/>
        <v>1.1300000000000008</v>
      </c>
      <c r="D117" s="306">
        <f t="shared" ca="1" si="37"/>
        <v>27.536718129525777</v>
      </c>
      <c r="E117" s="307">
        <f t="shared" ca="1" si="38"/>
        <v>131.04627664230708</v>
      </c>
      <c r="F117" s="304">
        <f t="shared" ca="1" si="39"/>
        <v>133.90816803749138</v>
      </c>
      <c r="G117" s="306">
        <f t="shared" ca="1" si="40"/>
        <v>31.355387695054393</v>
      </c>
      <c r="H117" s="307">
        <f t="shared" ca="1" si="41"/>
        <v>160.29149844912467</v>
      </c>
      <c r="I117" s="304">
        <f t="shared" ca="1" si="42"/>
        <v>163.32949768052586</v>
      </c>
      <c r="J117" s="306">
        <f t="shared" ca="1" si="43"/>
        <v>17.135401891113901</v>
      </c>
      <c r="K117" s="307">
        <f t="shared" ca="1" si="44"/>
        <v>90.409615637399767</v>
      </c>
      <c r="L117" s="304">
        <f t="shared" ca="1" si="29"/>
        <v>92.019131693753508</v>
      </c>
      <c r="M117" s="306">
        <f t="shared" ca="1" si="45"/>
        <v>1.3776208495046964</v>
      </c>
      <c r="N117" s="304">
        <f t="shared" ca="1" si="46"/>
        <v>78.931860445846254</v>
      </c>
      <c r="P117" s="310">
        <f t="shared" ca="1" si="47"/>
        <v>11</v>
      </c>
      <c r="Q117" s="304">
        <f t="shared" ca="1" si="48"/>
        <v>1213.2774999999999</v>
      </c>
      <c r="R117" s="306">
        <f t="shared" ca="1" si="49"/>
        <v>0.59624308185956776</v>
      </c>
      <c r="S117" s="307">
        <f t="shared" ca="1" si="50"/>
        <v>7.7492976069375707</v>
      </c>
      <c r="T117" s="304">
        <f t="shared" ca="1" si="30"/>
        <v>76.020609524057576</v>
      </c>
      <c r="U117" s="311">
        <f t="shared" ca="1" si="31"/>
        <v>0</v>
      </c>
      <c r="V117" s="306">
        <f t="shared" ca="1" si="32"/>
        <v>1.2139746619133529</v>
      </c>
      <c r="W117" s="304">
        <f t="shared" ca="1" si="33"/>
        <v>102.73892675521765</v>
      </c>
      <c r="Y117" s="314" t="str">
        <f t="shared" ca="1" si="51"/>
        <v/>
      </c>
      <c r="Z117" s="315" t="str">
        <f t="shared" ca="1" si="52"/>
        <v/>
      </c>
      <c r="AA117" s="316" t="str">
        <f t="shared" ca="1" si="53"/>
        <v/>
      </c>
      <c r="AC117" s="310" t="e">
        <f t="shared" ca="1" si="54"/>
        <v>#N/A</v>
      </c>
      <c r="AD117" s="323" t="e">
        <f t="shared" ca="1" si="55"/>
        <v>#N/A</v>
      </c>
      <c r="AE117" s="324">
        <f t="shared" ca="1" si="34"/>
        <v>90.409615637399767</v>
      </c>
      <c r="AG117" s="306">
        <f t="shared" ca="1" si="56"/>
        <v>133.89493968828847</v>
      </c>
      <c r="AH117" s="304">
        <f t="shared" ca="1" si="57"/>
        <v>143.52268641186694</v>
      </c>
    </row>
    <row r="118" spans="1:34" x14ac:dyDescent="0.2">
      <c r="A118" s="347">
        <f t="shared" ca="1" si="35"/>
        <v>0.01</v>
      </c>
      <c r="B118" s="304">
        <f t="shared" ca="1" si="36"/>
        <v>1.1400000000000008</v>
      </c>
      <c r="D118" s="306">
        <f t="shared" ca="1" si="37"/>
        <v>27.486704389429509</v>
      </c>
      <c r="E118" s="307">
        <f t="shared" ca="1" si="38"/>
        <v>130.70444928249819</v>
      </c>
      <c r="F118" s="304">
        <f t="shared" ca="1" si="39"/>
        <v>133.56336316682439</v>
      </c>
      <c r="G118" s="306">
        <f t="shared" ca="1" si="40"/>
        <v>31.63025473894869</v>
      </c>
      <c r="H118" s="307">
        <f t="shared" ca="1" si="41"/>
        <v>161.59854294194966</v>
      </c>
      <c r="I118" s="304">
        <f t="shared" ca="1" si="42"/>
        <v>164.66499960772458</v>
      </c>
      <c r="J118" s="306">
        <f t="shared" ca="1" si="43"/>
        <v>17.450330103283918</v>
      </c>
      <c r="K118" s="307">
        <f t="shared" ca="1" si="44"/>
        <v>92.01906584435514</v>
      </c>
      <c r="L118" s="304">
        <f t="shared" ca="1" si="29"/>
        <v>93.659075906082606</v>
      </c>
      <c r="M118" s="306">
        <f t="shared" ca="1" si="45"/>
        <v>1.3775064786782154</v>
      </c>
      <c r="N118" s="304">
        <f t="shared" ca="1" si="46"/>
        <v>78.92530748018946</v>
      </c>
      <c r="P118" s="310">
        <f t="shared" ca="1" si="47"/>
        <v>11</v>
      </c>
      <c r="Q118" s="304">
        <f t="shared" ca="1" si="48"/>
        <v>1211.4124999999999</v>
      </c>
      <c r="R118" s="306">
        <f t="shared" ca="1" si="49"/>
        <v>0.59532656165073827</v>
      </c>
      <c r="S118" s="307">
        <f t="shared" ca="1" si="50"/>
        <v>7.7433443413210634</v>
      </c>
      <c r="T118" s="304">
        <f t="shared" ca="1" si="30"/>
        <v>75.962207988359637</v>
      </c>
      <c r="U118" s="311">
        <f t="shared" ca="1" si="31"/>
        <v>0</v>
      </c>
      <c r="V118" s="306">
        <f t="shared" ca="1" si="32"/>
        <v>1.2137792903948657</v>
      </c>
      <c r="W118" s="304">
        <f t="shared" ca="1" si="33"/>
        <v>104.40912778400356</v>
      </c>
      <c r="Y118" s="314" t="str">
        <f t="shared" ca="1" si="51"/>
        <v/>
      </c>
      <c r="Z118" s="315" t="str">
        <f t="shared" ca="1" si="52"/>
        <v/>
      </c>
      <c r="AA118" s="316" t="str">
        <f t="shared" ca="1" si="53"/>
        <v/>
      </c>
      <c r="AC118" s="310" t="e">
        <f t="shared" ca="1" si="54"/>
        <v>#N/A</v>
      </c>
      <c r="AD118" s="323" t="e">
        <f t="shared" ca="1" si="55"/>
        <v>#N/A</v>
      </c>
      <c r="AE118" s="324">
        <f t="shared" ca="1" si="34"/>
        <v>92.01906584435514</v>
      </c>
      <c r="AG118" s="306">
        <f t="shared" ca="1" si="56"/>
        <v>133.55008502331262</v>
      </c>
      <c r="AH118" s="304">
        <f t="shared" ca="1" si="57"/>
        <v>143.17761478441957</v>
      </c>
    </row>
    <row r="119" spans="1:34" x14ac:dyDescent="0.2">
      <c r="A119" s="347">
        <f t="shared" ca="1" si="35"/>
        <v>0.01</v>
      </c>
      <c r="B119" s="304">
        <f t="shared" ca="1" si="36"/>
        <v>1.1500000000000008</v>
      </c>
      <c r="D119" s="306">
        <f t="shared" ca="1" si="37"/>
        <v>27.436138595440131</v>
      </c>
      <c r="E119" s="307">
        <f t="shared" ca="1" si="38"/>
        <v>130.36086038567518</v>
      </c>
      <c r="F119" s="304">
        <f t="shared" ca="1" si="39"/>
        <v>133.21672425608466</v>
      </c>
      <c r="G119" s="306">
        <f t="shared" ca="1" si="40"/>
        <v>31.90461612490309</v>
      </c>
      <c r="H119" s="307">
        <f t="shared" ca="1" si="41"/>
        <v>162.90215154580642</v>
      </c>
      <c r="I119" s="304">
        <f t="shared" ca="1" si="42"/>
        <v>165.99703463715943</v>
      </c>
      <c r="J119" s="306">
        <f t="shared" ca="1" si="43"/>
        <v>17.768004457603176</v>
      </c>
      <c r="K119" s="307">
        <f t="shared" ca="1" si="44"/>
        <v>93.64156931679392</v>
      </c>
      <c r="L119" s="304">
        <f t="shared" ca="1" si="29"/>
        <v>95.312357470148257</v>
      </c>
      <c r="M119" s="306">
        <f t="shared" ca="1" si="45"/>
        <v>1.37739295928252</v>
      </c>
      <c r="N119" s="304">
        <f t="shared" ca="1" si="46"/>
        <v>78.918803297923247</v>
      </c>
      <c r="P119" s="310">
        <f t="shared" ca="1" si="47"/>
        <v>11</v>
      </c>
      <c r="Q119" s="304">
        <f t="shared" ca="1" si="48"/>
        <v>1209.5474999999999</v>
      </c>
      <c r="R119" s="306">
        <f t="shared" ca="1" si="49"/>
        <v>0.59441004144190879</v>
      </c>
      <c r="S119" s="307">
        <f t="shared" ca="1" si="50"/>
        <v>7.737400240906644</v>
      </c>
      <c r="T119" s="304">
        <f t="shared" ca="1" si="30"/>
        <v>75.90389636329418</v>
      </c>
      <c r="U119" s="311">
        <f t="shared" ca="1" si="31"/>
        <v>0</v>
      </c>
      <c r="V119" s="306">
        <f t="shared" ca="1" si="32"/>
        <v>1.2135823660168958</v>
      </c>
      <c r="W119" s="304">
        <f t="shared" ca="1" si="33"/>
        <v>106.08795227769534</v>
      </c>
      <c r="Y119" s="314" t="str">
        <f t="shared" ca="1" si="51"/>
        <v/>
      </c>
      <c r="Z119" s="315" t="str">
        <f t="shared" ca="1" si="52"/>
        <v/>
      </c>
      <c r="AA119" s="316" t="str">
        <f t="shared" ca="1" si="53"/>
        <v/>
      </c>
      <c r="AC119" s="310" t="e">
        <f t="shared" ca="1" si="54"/>
        <v>#N/A</v>
      </c>
      <c r="AD119" s="323" t="e">
        <f t="shared" ca="1" si="55"/>
        <v>#N/A</v>
      </c>
      <c r="AE119" s="324">
        <f t="shared" ca="1" si="34"/>
        <v>93.64156931679392</v>
      </c>
      <c r="AG119" s="306">
        <f t="shared" ca="1" si="56"/>
        <v>133.20339598617392</v>
      </c>
      <c r="AH119" s="304">
        <f t="shared" ca="1" si="57"/>
        <v>142.83071029119978</v>
      </c>
    </row>
    <row r="120" spans="1:34" x14ac:dyDescent="0.2">
      <c r="A120" s="347">
        <f t="shared" ca="1" si="35"/>
        <v>0.01</v>
      </c>
      <c r="B120" s="304">
        <f t="shared" ca="1" si="36"/>
        <v>1.1600000000000008</v>
      </c>
      <c r="D120" s="306">
        <f t="shared" ca="1" si="37"/>
        <v>27.385026155125548</v>
      </c>
      <c r="E120" s="307">
        <f t="shared" ca="1" si="38"/>
        <v>130.01552441137343</v>
      </c>
      <c r="F120" s="304">
        <f t="shared" ca="1" si="39"/>
        <v>132.86826651041005</v>
      </c>
      <c r="G120" s="306">
        <f t="shared" ca="1" si="40"/>
        <v>32.178466386454346</v>
      </c>
      <c r="H120" s="307">
        <f t="shared" ca="1" si="41"/>
        <v>164.20230678992016</v>
      </c>
      <c r="I120" s="304">
        <f t="shared" ca="1" si="42"/>
        <v>167.32558457724042</v>
      </c>
      <c r="J120" s="306">
        <f t="shared" ca="1" si="43"/>
        <v>18.088419870159964</v>
      </c>
      <c r="K120" s="307">
        <f t="shared" ca="1" si="44"/>
        <v>95.277091608472546</v>
      </c>
      <c r="L120" s="304">
        <f t="shared" ca="1" si="29"/>
        <v>96.978941625326414</v>
      </c>
      <c r="M120" s="306">
        <f t="shared" ca="1" si="45"/>
        <v>1.3772802759062517</v>
      </c>
      <c r="N120" s="304">
        <f t="shared" ca="1" si="46"/>
        <v>78.912347016041778</v>
      </c>
      <c r="P120" s="310">
        <f t="shared" ca="1" si="47"/>
        <v>11</v>
      </c>
      <c r="Q120" s="304">
        <f t="shared" ca="1" si="48"/>
        <v>1207.6824999999999</v>
      </c>
      <c r="R120" s="306">
        <f t="shared" ca="1" si="49"/>
        <v>0.5934935212330793</v>
      </c>
      <c r="S120" s="307">
        <f t="shared" ca="1" si="50"/>
        <v>7.7314653056943135</v>
      </c>
      <c r="T120" s="304">
        <f t="shared" ca="1" si="30"/>
        <v>75.84567464886122</v>
      </c>
      <c r="U120" s="311">
        <f t="shared" ca="1" si="31"/>
        <v>0</v>
      </c>
      <c r="V120" s="306">
        <f t="shared" ca="1" si="32"/>
        <v>1.2133838937190751</v>
      </c>
      <c r="W120" s="304">
        <f t="shared" ca="1" si="33"/>
        <v>107.7752595424227</v>
      </c>
      <c r="Y120" s="314" t="str">
        <f t="shared" ca="1" si="51"/>
        <v/>
      </c>
      <c r="Z120" s="315" t="str">
        <f t="shared" ca="1" si="52"/>
        <v/>
      </c>
      <c r="AA120" s="316" t="str">
        <f t="shared" ca="1" si="53"/>
        <v/>
      </c>
      <c r="AC120" s="310" t="e">
        <f t="shared" ca="1" si="54"/>
        <v>#N/A</v>
      </c>
      <c r="AD120" s="323" t="e">
        <f t="shared" ca="1" si="55"/>
        <v>#N/A</v>
      </c>
      <c r="AE120" s="324">
        <f t="shared" ca="1" si="34"/>
        <v>95.277091608472546</v>
      </c>
      <c r="AG120" s="306">
        <f t="shared" ca="1" si="56"/>
        <v>132.8548877769046</v>
      </c>
      <c r="AH120" s="304">
        <f t="shared" ca="1" si="57"/>
        <v>142.48198810527771</v>
      </c>
    </row>
    <row r="121" spans="1:34" x14ac:dyDescent="0.2">
      <c r="A121" s="347">
        <f t="shared" ca="1" si="35"/>
        <v>0.01</v>
      </c>
      <c r="B121" s="304">
        <f t="shared" ca="1" si="36"/>
        <v>1.1700000000000008</v>
      </c>
      <c r="D121" s="306">
        <f t="shared" ca="1" si="37"/>
        <v>27.333372430342379</v>
      </c>
      <c r="E121" s="307">
        <f t="shared" ca="1" si="38"/>
        <v>129.66845591856895</v>
      </c>
      <c r="F121" s="304">
        <f t="shared" ca="1" si="39"/>
        <v>132.51800522465487</v>
      </c>
      <c r="G121" s="306">
        <f t="shared" ca="1" si="40"/>
        <v>32.451800110757773</v>
      </c>
      <c r="H121" s="307">
        <f t="shared" ca="1" si="41"/>
        <v>165.49899134910584</v>
      </c>
      <c r="I121" s="304">
        <f t="shared" ca="1" si="42"/>
        <v>168.65063138927167</v>
      </c>
      <c r="J121" s="306">
        <f t="shared" ca="1" si="43"/>
        <v>18.411571202646023</v>
      </c>
      <c r="K121" s="307">
        <f t="shared" ca="1" si="44"/>
        <v>96.925598099167672</v>
      </c>
      <c r="L121" s="304">
        <f t="shared" ca="1" si="29"/>
        <v>98.65879342983817</v>
      </c>
      <c r="M121" s="306">
        <f t="shared" ca="1" si="45"/>
        <v>1.3771684135332962</v>
      </c>
      <c r="N121" s="304">
        <f t="shared" ca="1" si="46"/>
        <v>78.905937774185119</v>
      </c>
      <c r="P121" s="310">
        <f t="shared" ca="1" si="47"/>
        <v>11</v>
      </c>
      <c r="Q121" s="304">
        <f t="shared" ca="1" si="48"/>
        <v>1205.8174999999999</v>
      </c>
      <c r="R121" s="306">
        <f t="shared" ca="1" si="49"/>
        <v>0.59257700102424982</v>
      </c>
      <c r="S121" s="307">
        <f t="shared" ca="1" si="50"/>
        <v>7.7255395356840708</v>
      </c>
      <c r="T121" s="304">
        <f t="shared" ca="1" si="30"/>
        <v>75.787542845060742</v>
      </c>
      <c r="U121" s="311">
        <f t="shared" ca="1" si="31"/>
        <v>0</v>
      </c>
      <c r="V121" s="306">
        <f t="shared" ca="1" si="32"/>
        <v>1.2131838784652005</v>
      </c>
      <c r="W121" s="304">
        <f t="shared" ca="1" si="33"/>
        <v>109.47090866261262</v>
      </c>
      <c r="Y121" s="314" t="str">
        <f t="shared" ca="1" si="51"/>
        <v/>
      </c>
      <c r="Z121" s="315" t="str">
        <f t="shared" ca="1" si="52"/>
        <v/>
      </c>
      <c r="AA121" s="316" t="str">
        <f t="shared" ca="1" si="53"/>
        <v/>
      </c>
      <c r="AC121" s="310" t="e">
        <f t="shared" ca="1" si="54"/>
        <v>#N/A</v>
      </c>
      <c r="AD121" s="323" t="e">
        <f t="shared" ca="1" si="55"/>
        <v>#N/A</v>
      </c>
      <c r="AE121" s="324">
        <f t="shared" ca="1" si="34"/>
        <v>96.925598099167672</v>
      </c>
      <c r="AG121" s="306">
        <f t="shared" ca="1" si="56"/>
        <v>132.50457568525391</v>
      </c>
      <c r="AH121" s="304">
        <f t="shared" ca="1" si="57"/>
        <v>142.13146349012234</v>
      </c>
    </row>
    <row r="122" spans="1:34" x14ac:dyDescent="0.2">
      <c r="A122" s="347">
        <f t="shared" ca="1" si="35"/>
        <v>0.01</v>
      </c>
      <c r="B122" s="304">
        <f t="shared" ca="1" si="36"/>
        <v>1.1800000000000008</v>
      </c>
      <c r="D122" s="306">
        <f t="shared" ca="1" si="37"/>
        <v>27.281182739190555</v>
      </c>
      <c r="E122" s="307">
        <f t="shared" ca="1" si="38"/>
        <v>129.31966956338263</v>
      </c>
      <c r="F122" s="304">
        <f t="shared" ca="1" si="39"/>
        <v>132.16595578147795</v>
      </c>
      <c r="G122" s="306">
        <f t="shared" ca="1" si="40"/>
        <v>32.724611938149678</v>
      </c>
      <c r="H122" s="307">
        <f t="shared" ca="1" si="41"/>
        <v>166.79218804473967</v>
      </c>
      <c r="I122" s="304">
        <f t="shared" ca="1" si="42"/>
        <v>169.97215718832979</v>
      </c>
      <c r="J122" s="306">
        <f t="shared" ca="1" si="43"/>
        <v>18.737453262890561</v>
      </c>
      <c r="K122" s="307">
        <f t="shared" ca="1" si="44"/>
        <v>98.587053996136902</v>
      </c>
      <c r="L122" s="304">
        <f t="shared" ca="1" si="29"/>
        <v>100.35187776228315</v>
      </c>
      <c r="M122" s="306">
        <f t="shared" ca="1" si="45"/>
        <v>1.3770573575292633</v>
      </c>
      <c r="N122" s="304">
        <f t="shared" ca="1" si="46"/>
        <v>78.899574733864441</v>
      </c>
      <c r="P122" s="310">
        <f t="shared" ca="1" si="47"/>
        <v>11</v>
      </c>
      <c r="Q122" s="304">
        <f t="shared" ca="1" si="48"/>
        <v>1203.9524999999999</v>
      </c>
      <c r="R122" s="306">
        <f t="shared" ca="1" si="49"/>
        <v>0.59166048081542044</v>
      </c>
      <c r="S122" s="307">
        <f t="shared" ca="1" si="50"/>
        <v>7.719622930875917</v>
      </c>
      <c r="T122" s="304">
        <f t="shared" ca="1" si="30"/>
        <v>75.729500951892746</v>
      </c>
      <c r="U122" s="311">
        <f t="shared" ca="1" si="31"/>
        <v>0</v>
      </c>
      <c r="V122" s="306">
        <f t="shared" ca="1" si="32"/>
        <v>1.2129823252429823</v>
      </c>
      <c r="W122" s="304">
        <f t="shared" ca="1" si="33"/>
        <v>111.1747585172031</v>
      </c>
      <c r="Y122" s="314" t="str">
        <f t="shared" ca="1" si="51"/>
        <v/>
      </c>
      <c r="Z122" s="315" t="str">
        <f t="shared" ca="1" si="52"/>
        <v/>
      </c>
      <c r="AA122" s="316" t="str">
        <f t="shared" ca="1" si="53"/>
        <v/>
      </c>
      <c r="AC122" s="310" t="e">
        <f t="shared" ca="1" si="54"/>
        <v>#N/A</v>
      </c>
      <c r="AD122" s="323" t="e">
        <f t="shared" ca="1" si="55"/>
        <v>#N/A</v>
      </c>
      <c r="AE122" s="324">
        <f t="shared" ca="1" si="34"/>
        <v>98.587053996136902</v>
      </c>
      <c r="AG122" s="306">
        <f t="shared" ca="1" si="56"/>
        <v>132.15247508877417</v>
      </c>
      <c r="AH122" s="304">
        <f t="shared" ca="1" si="57"/>
        <v>141.77915179766435</v>
      </c>
    </row>
    <row r="123" spans="1:34" x14ac:dyDescent="0.2">
      <c r="A123" s="347">
        <f t="shared" ca="1" si="35"/>
        <v>0.01</v>
      </c>
      <c r="B123" s="304">
        <f t="shared" ca="1" si="36"/>
        <v>1.1900000000000008</v>
      </c>
      <c r="D123" s="306">
        <f t="shared" ca="1" si="37"/>
        <v>27.228462357865364</v>
      </c>
      <c r="E123" s="307">
        <f t="shared" ca="1" si="38"/>
        <v>128.96918009679473</v>
      </c>
      <c r="F123" s="304">
        <f t="shared" ca="1" si="39"/>
        <v>131.81213364942229</v>
      </c>
      <c r="G123" s="306">
        <f t="shared" ca="1" si="40"/>
        <v>32.996896561728335</v>
      </c>
      <c r="H123" s="307">
        <f t="shared" ca="1" si="41"/>
        <v>168.08187984570762</v>
      </c>
      <c r="I123" s="304">
        <f t="shared" ca="1" si="42"/>
        <v>171.2901442441225</v>
      </c>
      <c r="J123" s="306">
        <f t="shared" ca="1" si="43"/>
        <v>19.066060805389952</v>
      </c>
      <c r="K123" s="307">
        <f t="shared" ca="1" si="44"/>
        <v>100.26142433558914</v>
      </c>
      <c r="L123" s="304">
        <f t="shared" ca="1" si="29"/>
        <v>102.05815932318147</v>
      </c>
      <c r="M123" s="306">
        <f t="shared" ca="1" si="45"/>
        <v>1.3769470936285408</v>
      </c>
      <c r="N123" s="304">
        <f t="shared" ca="1" si="46"/>
        <v>78.893257077720392</v>
      </c>
      <c r="P123" s="310">
        <f t="shared" ca="1" si="47"/>
        <v>11</v>
      </c>
      <c r="Q123" s="304">
        <f t="shared" ca="1" si="48"/>
        <v>1202.0874999999999</v>
      </c>
      <c r="R123" s="306">
        <f t="shared" ca="1" si="49"/>
        <v>0.59074396060659096</v>
      </c>
      <c r="S123" s="307">
        <f t="shared" ca="1" si="50"/>
        <v>7.7137154912698511</v>
      </c>
      <c r="T123" s="304">
        <f t="shared" ca="1" si="30"/>
        <v>75.671548969357247</v>
      </c>
      <c r="U123" s="311">
        <f t="shared" ca="1" si="31"/>
        <v>0</v>
      </c>
      <c r="V123" s="306">
        <f t="shared" ca="1" si="32"/>
        <v>1.212779239063787</v>
      </c>
      <c r="W123" s="304">
        <f t="shared" ca="1" si="33"/>
        <v>112.88666779582775</v>
      </c>
      <c r="Y123" s="314" t="str">
        <f t="shared" ca="1" si="51"/>
        <v/>
      </c>
      <c r="Z123" s="315" t="str">
        <f t="shared" ca="1" si="52"/>
        <v/>
      </c>
      <c r="AA123" s="316" t="str">
        <f t="shared" ca="1" si="53"/>
        <v/>
      </c>
      <c r="AC123" s="310" t="e">
        <f t="shared" ca="1" si="54"/>
        <v>#N/A</v>
      </c>
      <c r="AD123" s="323" t="e">
        <f t="shared" ca="1" si="55"/>
        <v>#N/A</v>
      </c>
      <c r="AE123" s="324">
        <f t="shared" ca="1" si="34"/>
        <v>100.26142433558914</v>
      </c>
      <c r="AG123" s="306">
        <f t="shared" ca="1" si="56"/>
        <v>131.79860145089847</v>
      </c>
      <c r="AH123" s="304">
        <f t="shared" ca="1" si="57"/>
        <v>141.42506846635175</v>
      </c>
    </row>
    <row r="124" spans="1:34" x14ac:dyDescent="0.2">
      <c r="A124" s="347">
        <f t="shared" ca="1" si="35"/>
        <v>0.01</v>
      </c>
      <c r="B124" s="304">
        <f t="shared" ca="1" si="36"/>
        <v>1.2000000000000008</v>
      </c>
      <c r="D124" s="306">
        <f t="shared" ca="1" si="37"/>
        <v>27.175216522412235</v>
      </c>
      <c r="E124" s="307">
        <f t="shared" ca="1" si="38"/>
        <v>128.61700236236808</v>
      </c>
      <c r="F124" s="304">
        <f t="shared" ca="1" si="39"/>
        <v>131.45655438098697</v>
      </c>
      <c r="G124" s="306">
        <f t="shared" ca="1" si="40"/>
        <v>33.268648726952456</v>
      </c>
      <c r="H124" s="307">
        <f t="shared" ca="1" si="41"/>
        <v>169.36804986933129</v>
      </c>
      <c r="I124" s="304">
        <f t="shared" ca="1" si="42"/>
        <v>172.60457498182848</v>
      </c>
      <c r="J124" s="306">
        <f t="shared" ca="1" si="43"/>
        <v>19.397388531833357</v>
      </c>
      <c r="K124" s="307">
        <f t="shared" ca="1" si="44"/>
        <v>101.94867398416433</v>
      </c>
      <c r="L124" s="304">
        <f t="shared" ca="1" si="29"/>
        <v>103.77760263652425</v>
      </c>
      <c r="M124" s="306">
        <f t="shared" ca="1" si="45"/>
        <v>1.3768376079218938</v>
      </c>
      <c r="N124" s="304">
        <f t="shared" ca="1" si="46"/>
        <v>78.886984008812519</v>
      </c>
      <c r="P124" s="310">
        <f t="shared" ca="1" si="47"/>
        <v>11</v>
      </c>
      <c r="Q124" s="304">
        <f t="shared" ca="1" si="48"/>
        <v>1200.2224999999999</v>
      </c>
      <c r="R124" s="306">
        <f t="shared" ca="1" si="49"/>
        <v>0.58982744039776147</v>
      </c>
      <c r="S124" s="307">
        <f t="shared" ca="1" si="50"/>
        <v>7.7078172168658732</v>
      </c>
      <c r="T124" s="304">
        <f t="shared" ca="1" si="30"/>
        <v>75.613686897454215</v>
      </c>
      <c r="U124" s="311">
        <f t="shared" ca="1" si="31"/>
        <v>0</v>
      </c>
      <c r="V124" s="306">
        <f t="shared" ca="1" si="32"/>
        <v>1.2125746249623821</v>
      </c>
      <c r="W124" s="304">
        <f t="shared" ca="1" si="33"/>
        <v>114.60649501497009</v>
      </c>
      <c r="Y124" s="314" t="str">
        <f t="shared" ca="1" si="51"/>
        <v/>
      </c>
      <c r="Z124" s="315" t="str">
        <f t="shared" ca="1" si="52"/>
        <v/>
      </c>
      <c r="AA124" s="316" t="str">
        <f t="shared" ca="1" si="53"/>
        <v/>
      </c>
      <c r="AC124" s="310" t="e">
        <f t="shared" ca="1" si="54"/>
        <v>#N/A</v>
      </c>
      <c r="AD124" s="323" t="e">
        <f t="shared" ca="1" si="55"/>
        <v>#N/A</v>
      </c>
      <c r="AE124" s="324">
        <f t="shared" ca="1" si="34"/>
        <v>101.94867398416433</v>
      </c>
      <c r="AG124" s="306">
        <f t="shared" ca="1" si="56"/>
        <v>131.44297031901067</v>
      </c>
      <c r="AH124" s="304">
        <f t="shared" ca="1" si="57"/>
        <v>141.06922901919839</v>
      </c>
    </row>
    <row r="125" spans="1:34" x14ac:dyDescent="0.2">
      <c r="A125" s="347">
        <f t="shared" ca="1" si="35"/>
        <v>0.01</v>
      </c>
      <c r="B125" s="304">
        <f t="shared" ca="1" si="36"/>
        <v>1.2100000000000009</v>
      </c>
      <c r="D125" s="306">
        <f t="shared" ca="1" si="37"/>
        <v>27.094066101996454</v>
      </c>
      <c r="E125" s="307">
        <f t="shared" ca="1" si="38"/>
        <v>128.12373985184553</v>
      </c>
      <c r="F125" s="304">
        <f t="shared" ca="1" si="39"/>
        <v>130.9571728908453</v>
      </c>
      <c r="G125" s="306">
        <f t="shared" ca="1" si="40"/>
        <v>33.53958938797242</v>
      </c>
      <c r="H125" s="307">
        <f t="shared" ca="1" si="41"/>
        <v>170.64928726784973</v>
      </c>
      <c r="I125" s="304">
        <f t="shared" ca="1" si="42"/>
        <v>173.9140112277872</v>
      </c>
      <c r="J125" s="306">
        <f t="shared" ca="1" si="43"/>
        <v>19.731429722407981</v>
      </c>
      <c r="K125" s="307">
        <f t="shared" ca="1" si="44"/>
        <v>103.64876066985023</v>
      </c>
      <c r="L125" s="304">
        <f t="shared" ca="1" si="29"/>
        <v>105.51016494767799</v>
      </c>
      <c r="M125" s="306">
        <f t="shared" ca="1" si="45"/>
        <v>1.3767288859564095</v>
      </c>
      <c r="N125" s="304">
        <f t="shared" ca="1" si="46"/>
        <v>78.880754699049902</v>
      </c>
      <c r="P125" s="310">
        <f t="shared" ca="1" si="47"/>
        <v>12</v>
      </c>
      <c r="Q125" s="304">
        <f t="shared" ca="1" si="48"/>
        <v>1197.2639999999997</v>
      </c>
      <c r="R125" s="306">
        <f t="shared" ca="1" si="49"/>
        <v>0.58837353957319194</v>
      </c>
      <c r="S125" s="307">
        <f t="shared" ca="1" si="50"/>
        <v>7.7019334814701415</v>
      </c>
      <c r="T125" s="304">
        <f t="shared" ca="1" si="30"/>
        <v>75.555967453222095</v>
      </c>
      <c r="U125" s="311">
        <f t="shared" ca="1" si="31"/>
        <v>0</v>
      </c>
      <c r="V125" s="306">
        <f t="shared" ca="1" si="32"/>
        <v>1.2123684888417903</v>
      </c>
      <c r="W125" s="304">
        <f t="shared" ca="1" si="33"/>
        <v>116.33219790296921</v>
      </c>
      <c r="Y125" s="314" t="str">
        <f t="shared" ca="1" si="51"/>
        <v/>
      </c>
      <c r="Z125" s="315" t="str">
        <f t="shared" ca="1" si="52"/>
        <v/>
      </c>
      <c r="AA125" s="316" t="str">
        <f t="shared" ca="1" si="53"/>
        <v/>
      </c>
      <c r="AC125" s="310" t="e">
        <f t="shared" ca="1" si="54"/>
        <v>#N/A</v>
      </c>
      <c r="AD125" s="323" t="e">
        <f t="shared" ca="1" si="55"/>
        <v>#N/A</v>
      </c>
      <c r="AE125" s="324">
        <f t="shared" ca="1" si="34"/>
        <v>103.64876066985023</v>
      </c>
      <c r="AG125" s="306">
        <f t="shared" ca="1" si="56"/>
        <v>130.94352180864382</v>
      </c>
      <c r="AH125" s="304">
        <f t="shared" ca="1" si="57"/>
        <v>140.56957354796219</v>
      </c>
    </row>
    <row r="126" spans="1:34" x14ac:dyDescent="0.2">
      <c r="A126" s="347">
        <f t="shared" ca="1" si="35"/>
        <v>0.01</v>
      </c>
      <c r="B126" s="304">
        <f t="shared" ca="1" si="36"/>
        <v>1.2200000000000009</v>
      </c>
      <c r="D126" s="306">
        <f t="shared" ca="1" si="37"/>
        <v>26.984937152084349</v>
      </c>
      <c r="E126" s="307">
        <f t="shared" ca="1" si="38"/>
        <v>127.48924474335661</v>
      </c>
      <c r="F126" s="304">
        <f t="shared" ca="1" si="39"/>
        <v>130.31383026499307</v>
      </c>
      <c r="G126" s="306">
        <f t="shared" ca="1" si="40"/>
        <v>33.809438759493261</v>
      </c>
      <c r="H126" s="307">
        <f t="shared" ca="1" si="41"/>
        <v>171.92417971528329</v>
      </c>
      <c r="I126" s="304">
        <f t="shared" ca="1" si="42"/>
        <v>175.21701321505554</v>
      </c>
      <c r="J126" s="306">
        <f t="shared" ca="1" si="43"/>
        <v>20.068174863145309</v>
      </c>
      <c r="K126" s="307">
        <f t="shared" ca="1" si="44"/>
        <v>105.3616280047659</v>
      </c>
      <c r="L126" s="304">
        <f t="shared" ca="1" si="29"/>
        <v>107.25578911253439</v>
      </c>
      <c r="M126" s="306">
        <f t="shared" ca="1" si="45"/>
        <v>1.3766209127733311</v>
      </c>
      <c r="N126" s="304">
        <f t="shared" ca="1" si="46"/>
        <v>78.874568291358912</v>
      </c>
      <c r="P126" s="310">
        <f t="shared" ca="1" si="47"/>
        <v>12</v>
      </c>
      <c r="Q126" s="304">
        <f t="shared" ca="1" si="48"/>
        <v>1193.2119999999995</v>
      </c>
      <c r="R126" s="306">
        <f t="shared" ca="1" si="49"/>
        <v>0.58638225813288247</v>
      </c>
      <c r="S126" s="307">
        <f t="shared" ca="1" si="50"/>
        <v>7.6960696588888124</v>
      </c>
      <c r="T126" s="304">
        <f t="shared" ca="1" si="30"/>
        <v>75.498443353699258</v>
      </c>
      <c r="U126" s="311">
        <f t="shared" ca="1" si="31"/>
        <v>0</v>
      </c>
      <c r="V126" s="306">
        <f t="shared" ca="1" si="32"/>
        <v>1.2121608383182667</v>
      </c>
      <c r="W126" s="304">
        <f t="shared" ca="1" si="33"/>
        <v>118.0616761146841</v>
      </c>
      <c r="Y126" s="314" t="str">
        <f t="shared" ca="1" si="51"/>
        <v/>
      </c>
      <c r="Z126" s="315" t="str">
        <f t="shared" ca="1" si="52"/>
        <v/>
      </c>
      <c r="AA126" s="316" t="str">
        <f t="shared" ca="1" si="53"/>
        <v/>
      </c>
      <c r="AC126" s="310" t="e">
        <f t="shared" ca="1" si="54"/>
        <v>#N/A</v>
      </c>
      <c r="AD126" s="323" t="e">
        <f t="shared" ca="1" si="55"/>
        <v>#N/A</v>
      </c>
      <c r="AE126" s="324">
        <f t="shared" ca="1" si="34"/>
        <v>105.3616280047659</v>
      </c>
      <c r="AG126" s="306">
        <f t="shared" ca="1" si="56"/>
        <v>130.30009659101427</v>
      </c>
      <c r="AH126" s="304">
        <f t="shared" ca="1" si="57"/>
        <v>139.92594269897944</v>
      </c>
    </row>
    <row r="127" spans="1:34" x14ac:dyDescent="0.2">
      <c r="A127" s="347">
        <f t="shared" ca="1" si="35"/>
        <v>0.01</v>
      </c>
      <c r="B127" s="304">
        <f t="shared" ca="1" si="36"/>
        <v>1.2300000000000009</v>
      </c>
      <c r="D127" s="306">
        <f t="shared" ca="1" si="37"/>
        <v>26.875214510481801</v>
      </c>
      <c r="E127" s="307">
        <f t="shared" ca="1" si="38"/>
        <v>126.85299645655857</v>
      </c>
      <c r="F127" s="304">
        <f t="shared" ca="1" si="39"/>
        <v>129.66865413426666</v>
      </c>
      <c r="G127" s="306">
        <f t="shared" ca="1" si="40"/>
        <v>34.078190904598081</v>
      </c>
      <c r="H127" s="307">
        <f t="shared" ca="1" si="41"/>
        <v>173.19270967984886</v>
      </c>
      <c r="I127" s="304">
        <f t="shared" ca="1" si="42"/>
        <v>176.51356259953127</v>
      </c>
      <c r="J127" s="306">
        <f t="shared" ca="1" si="43"/>
        <v>20.407613011465767</v>
      </c>
      <c r="K127" s="307">
        <f t="shared" ca="1" si="44"/>
        <v>107.08721245174156</v>
      </c>
      <c r="L127" s="304">
        <f t="shared" ca="1" si="29"/>
        <v>109.01441069652296</v>
      </c>
      <c r="M127" s="306">
        <f t="shared" ca="1" si="45"/>
        <v>1.3765136738077286</v>
      </c>
      <c r="N127" s="304">
        <f t="shared" ca="1" si="46"/>
        <v>78.86842395123054</v>
      </c>
      <c r="P127" s="310">
        <f t="shared" ca="1" si="47"/>
        <v>12</v>
      </c>
      <c r="Q127" s="304">
        <f t="shared" ca="1" si="48"/>
        <v>1189.1599999999996</v>
      </c>
      <c r="R127" s="306">
        <f t="shared" ca="1" si="49"/>
        <v>0.58439097669257312</v>
      </c>
      <c r="S127" s="307">
        <f t="shared" ca="1" si="50"/>
        <v>7.6902257491218871</v>
      </c>
      <c r="T127" s="304">
        <f t="shared" ca="1" si="30"/>
        <v>75.441114598885719</v>
      </c>
      <c r="U127" s="311">
        <f t="shared" ca="1" si="31"/>
        <v>0</v>
      </c>
      <c r="V127" s="306">
        <f t="shared" ca="1" si="32"/>
        <v>1.211951681875419</v>
      </c>
      <c r="W127" s="304">
        <f t="shared" ca="1" si="33"/>
        <v>119.79470330280287</v>
      </c>
      <c r="Y127" s="314" t="str">
        <f t="shared" ca="1" si="51"/>
        <v/>
      </c>
      <c r="Z127" s="315" t="str">
        <f t="shared" ca="1" si="52"/>
        <v/>
      </c>
      <c r="AA127" s="316" t="str">
        <f t="shared" ca="1" si="53"/>
        <v/>
      </c>
      <c r="AC127" s="310" t="e">
        <f t="shared" ca="1" si="54"/>
        <v>#N/A</v>
      </c>
      <c r="AD127" s="323" t="e">
        <f t="shared" ca="1" si="55"/>
        <v>#N/A</v>
      </c>
      <c r="AE127" s="324">
        <f t="shared" ca="1" si="34"/>
        <v>107.08721245174156</v>
      </c>
      <c r="AG127" s="306">
        <f t="shared" ca="1" si="56"/>
        <v>129.65483695054746</v>
      </c>
      <c r="AH127" s="304">
        <f t="shared" ca="1" si="57"/>
        <v>139.28047873076022</v>
      </c>
    </row>
    <row r="128" spans="1:34" x14ac:dyDescent="0.2">
      <c r="A128" s="347">
        <f t="shared" ca="1" si="35"/>
        <v>0.01</v>
      </c>
      <c r="B128" s="304">
        <f t="shared" ca="1" si="36"/>
        <v>1.2400000000000009</v>
      </c>
      <c r="D128" s="306">
        <f t="shared" ca="1" si="37"/>
        <v>26.764906857242121</v>
      </c>
      <c r="E128" s="307">
        <f t="shared" ca="1" si="38"/>
        <v>126.21502421303933</v>
      </c>
      <c r="F128" s="304">
        <f t="shared" ca="1" si="39"/>
        <v>129.02167483091728</v>
      </c>
      <c r="G128" s="306">
        <f t="shared" ca="1" si="40"/>
        <v>34.345839973170506</v>
      </c>
      <c r="H128" s="307">
        <f t="shared" ca="1" si="41"/>
        <v>174.45485992197925</v>
      </c>
      <c r="I128" s="304">
        <f t="shared" ca="1" si="42"/>
        <v>177.80364134027187</v>
      </c>
      <c r="J128" s="306">
        <f t="shared" ca="1" si="43"/>
        <v>20.749733165854611</v>
      </c>
      <c r="K128" s="307">
        <f t="shared" ca="1" si="44"/>
        <v>108.8254502997507</v>
      </c>
      <c r="L128" s="304">
        <f t="shared" ca="1" si="29"/>
        <v>110.78596508311726</v>
      </c>
      <c r="M128" s="306">
        <f t="shared" ca="1" si="45"/>
        <v>1.3764071548745134</v>
      </c>
      <c r="N128" s="304">
        <f t="shared" ca="1" si="46"/>
        <v>78.862320865919074</v>
      </c>
      <c r="P128" s="310">
        <f t="shared" ca="1" si="47"/>
        <v>12</v>
      </c>
      <c r="Q128" s="304">
        <f t="shared" ca="1" si="48"/>
        <v>1185.1079999999995</v>
      </c>
      <c r="R128" s="306">
        <f t="shared" ca="1" si="49"/>
        <v>0.58239969525226365</v>
      </c>
      <c r="S128" s="307">
        <f t="shared" ca="1" si="50"/>
        <v>7.6844017521693644</v>
      </c>
      <c r="T128" s="304">
        <f t="shared" ca="1" si="30"/>
        <v>75.383981188781462</v>
      </c>
      <c r="U128" s="311">
        <f t="shared" ca="1" si="31"/>
        <v>0</v>
      </c>
      <c r="V128" s="306">
        <f t="shared" ca="1" si="32"/>
        <v>1.2117410280181027</v>
      </c>
      <c r="W128" s="304">
        <f t="shared" ca="1" si="33"/>
        <v>121.53105393080693</v>
      </c>
      <c r="Y128" s="314" t="str">
        <f t="shared" ca="1" si="51"/>
        <v/>
      </c>
      <c r="Z128" s="315" t="str">
        <f t="shared" ca="1" si="52"/>
        <v/>
      </c>
      <c r="AA128" s="316" t="str">
        <f t="shared" ca="1" si="53"/>
        <v/>
      </c>
      <c r="AC128" s="310" t="e">
        <f t="shared" ca="1" si="54"/>
        <v>#N/A</v>
      </c>
      <c r="AD128" s="323" t="e">
        <f t="shared" ca="1" si="55"/>
        <v>#N/A</v>
      </c>
      <c r="AE128" s="324">
        <f t="shared" ca="1" si="34"/>
        <v>108.8254502997507</v>
      </c>
      <c r="AG128" s="306">
        <f t="shared" ca="1" si="56"/>
        <v>129.00777320353836</v>
      </c>
      <c r="AH128" s="304">
        <f t="shared" ca="1" si="57"/>
        <v>138.63321193435138</v>
      </c>
    </row>
    <row r="129" spans="1:34" x14ac:dyDescent="0.2">
      <c r="A129" s="347">
        <f t="shared" ca="1" si="35"/>
        <v>0.01</v>
      </c>
      <c r="B129" s="304">
        <f t="shared" ca="1" si="36"/>
        <v>1.2500000000000009</v>
      </c>
      <c r="D129" s="306">
        <f t="shared" ca="1" si="37"/>
        <v>26.654022807139217</v>
      </c>
      <c r="E129" s="307">
        <f t="shared" ca="1" si="38"/>
        <v>125.57535726041442</v>
      </c>
      <c r="F129" s="304">
        <f t="shared" ca="1" si="39"/>
        <v>128.37292270134</v>
      </c>
      <c r="G129" s="306">
        <f t="shared" ca="1" si="40"/>
        <v>34.612380201241898</v>
      </c>
      <c r="H129" s="307">
        <f t="shared" ca="1" si="41"/>
        <v>175.71061349458338</v>
      </c>
      <c r="I129" s="304">
        <f t="shared" ca="1" si="42"/>
        <v>179.08723169963343</v>
      </c>
      <c r="J129" s="306">
        <f t="shared" ca="1" si="43"/>
        <v>21.094524266726673</v>
      </c>
      <c r="K129" s="307">
        <f t="shared" ca="1" si="44"/>
        <v>110.57627766683351</v>
      </c>
      <c r="L129" s="304">
        <f t="shared" ca="1" si="29"/>
        <v>112.57038747686792</v>
      </c>
      <c r="M129" s="306">
        <f t="shared" ca="1" si="45"/>
        <v>1.3763013421550681</v>
      </c>
      <c r="N129" s="304">
        <f t="shared" ca="1" si="46"/>
        <v>78.856258243676052</v>
      </c>
      <c r="P129" s="310">
        <f t="shared" ca="1" si="47"/>
        <v>12</v>
      </c>
      <c r="Q129" s="304">
        <f t="shared" ca="1" si="48"/>
        <v>1181.0559999999996</v>
      </c>
      <c r="R129" s="306">
        <f t="shared" ca="1" si="49"/>
        <v>0.5804084138119544</v>
      </c>
      <c r="S129" s="307">
        <f t="shared" ca="1" si="50"/>
        <v>7.6785976680312444</v>
      </c>
      <c r="T129" s="304">
        <f t="shared" ca="1" si="30"/>
        <v>75.327043123386517</v>
      </c>
      <c r="U129" s="311">
        <f t="shared" ca="1" si="31"/>
        <v>0</v>
      </c>
      <c r="V129" s="306">
        <f t="shared" ca="1" si="32"/>
        <v>1.2115288852719455</v>
      </c>
      <c r="W129" s="304">
        <f t="shared" ca="1" si="33"/>
        <v>123.27050329977328</v>
      </c>
      <c r="Y129" s="314" t="str">
        <f t="shared" ca="1" si="51"/>
        <v/>
      </c>
      <c r="Z129" s="315" t="str">
        <f t="shared" ca="1" si="52"/>
        <v/>
      </c>
      <c r="AA129" s="316" t="str">
        <f t="shared" ca="1" si="53"/>
        <v/>
      </c>
      <c r="AC129" s="310" t="e">
        <f t="shared" ca="1" si="54"/>
        <v>#N/A</v>
      </c>
      <c r="AD129" s="323" t="e">
        <f t="shared" ca="1" si="55"/>
        <v>#N/A</v>
      </c>
      <c r="AE129" s="324">
        <f t="shared" ca="1" si="34"/>
        <v>110.57627766683351</v>
      </c>
      <c r="AG129" s="306">
        <f t="shared" ca="1" si="56"/>
        <v>128.35893568015518</v>
      </c>
      <c r="AH129" s="304">
        <f t="shared" ca="1" si="57"/>
        <v>137.98417261531682</v>
      </c>
    </row>
    <row r="130" spans="1:34" x14ac:dyDescent="0.2">
      <c r="A130" s="347">
        <f t="shared" ca="1" si="35"/>
        <v>0.01</v>
      </c>
      <c r="B130" s="304">
        <f t="shared" ca="1" si="36"/>
        <v>1.2600000000000009</v>
      </c>
      <c r="D130" s="306">
        <f t="shared" ca="1" si="37"/>
        <v>26.54257091141238</v>
      </c>
      <c r="E130" s="307">
        <f t="shared" ca="1" si="38"/>
        <v>124.93402486773834</v>
      </c>
      <c r="F130" s="304">
        <f t="shared" ca="1" si="39"/>
        <v>127.72242810188044</v>
      </c>
      <c r="G130" s="306">
        <f t="shared" ca="1" si="40"/>
        <v>34.877805910356024</v>
      </c>
      <c r="H130" s="307">
        <f t="shared" ca="1" si="41"/>
        <v>176.95995374326077</v>
      </c>
      <c r="I130" s="304">
        <f t="shared" ca="1" si="42"/>
        <v>180.36431624336743</v>
      </c>
      <c r="J130" s="306">
        <f t="shared" ca="1" si="43"/>
        <v>21.441975197284663</v>
      </c>
      <c r="K130" s="307">
        <f t="shared" ca="1" si="44"/>
        <v>112.33963050302273</v>
      </c>
      <c r="L130" s="304">
        <f t="shared" ca="1" si="29"/>
        <v>114.36761290643713</v>
      </c>
      <c r="M130" s="306">
        <f t="shared" ca="1" si="45"/>
        <v>1.3761962221844586</v>
      </c>
      <c r="N130" s="304">
        <f t="shared" ca="1" si="46"/>
        <v>78.850235313017592</v>
      </c>
      <c r="P130" s="310">
        <f t="shared" ca="1" si="47"/>
        <v>12</v>
      </c>
      <c r="Q130" s="304">
        <f t="shared" ca="1" si="48"/>
        <v>1177.0039999999997</v>
      </c>
      <c r="R130" s="306">
        <f t="shared" ca="1" si="49"/>
        <v>0.57841713237164505</v>
      </c>
      <c r="S130" s="307">
        <f t="shared" ca="1" si="50"/>
        <v>7.6728134967075281</v>
      </c>
      <c r="T130" s="304">
        <f t="shared" ca="1" si="30"/>
        <v>75.270300402700855</v>
      </c>
      <c r="U130" s="311">
        <f t="shared" ca="1" si="31"/>
        <v>0</v>
      </c>
      <c r="V130" s="306">
        <f t="shared" ca="1" si="32"/>
        <v>1.2113152621828753</v>
      </c>
      <c r="W130" s="304">
        <f t="shared" ca="1" si="33"/>
        <v>125.01282757485389</v>
      </c>
      <c r="Y130" s="314" t="str">
        <f t="shared" ca="1" si="51"/>
        <v/>
      </c>
      <c r="Z130" s="315" t="str">
        <f t="shared" ca="1" si="52"/>
        <v/>
      </c>
      <c r="AA130" s="316" t="str">
        <f t="shared" ca="1" si="53"/>
        <v/>
      </c>
      <c r="AC130" s="310" t="e">
        <f t="shared" ca="1" si="54"/>
        <v>#N/A</v>
      </c>
      <c r="AD130" s="323" t="e">
        <f t="shared" ca="1" si="55"/>
        <v>#N/A</v>
      </c>
      <c r="AE130" s="324">
        <f t="shared" ca="1" si="34"/>
        <v>112.33963050302273</v>
      </c>
      <c r="AG130" s="306">
        <f t="shared" ca="1" si="56"/>
        <v>127.70835472023707</v>
      </c>
      <c r="AH130" s="304">
        <f t="shared" ca="1" si="57"/>
        <v>137.3333910895127</v>
      </c>
    </row>
    <row r="131" spans="1:34" x14ac:dyDescent="0.2">
      <c r="A131" s="347">
        <f t="shared" ca="1" si="35"/>
        <v>0.01</v>
      </c>
      <c r="B131" s="304">
        <f t="shared" ca="1" si="36"/>
        <v>1.2700000000000009</v>
      </c>
      <c r="D131" s="306">
        <f t="shared" ca="1" si="37"/>
        <v>26.430559659401016</v>
      </c>
      <c r="E131" s="307">
        <f t="shared" ca="1" si="38"/>
        <v>124.29105632095803</v>
      </c>
      <c r="F131" s="304">
        <f t="shared" ca="1" si="39"/>
        <v>127.07022139466319</v>
      </c>
      <c r="G131" s="306">
        <f t="shared" ca="1" si="40"/>
        <v>35.142111506950037</v>
      </c>
      <c r="H131" s="307">
        <f t="shared" ca="1" si="41"/>
        <v>178.20286430647036</v>
      </c>
      <c r="I131" s="304">
        <f t="shared" ca="1" si="42"/>
        <v>181.63487784067573</v>
      </c>
      <c r="J131" s="306">
        <f t="shared" ca="1" si="43"/>
        <v>21.792074784371191</v>
      </c>
      <c r="K131" s="307">
        <f t="shared" ca="1" si="44"/>
        <v>114.11544459327139</v>
      </c>
      <c r="L131" s="304">
        <f t="shared" ca="1" si="29"/>
        <v>116.17757622763362</v>
      </c>
      <c r="M131" s="306">
        <f t="shared" ca="1" si="45"/>
        <v>1.3760917818392</v>
      </c>
      <c r="N131" s="304">
        <f t="shared" ca="1" si="46"/>
        <v>78.844251322023382</v>
      </c>
      <c r="P131" s="310">
        <f t="shared" ca="1" si="47"/>
        <v>12</v>
      </c>
      <c r="Q131" s="304">
        <f t="shared" ca="1" si="48"/>
        <v>1172.9519999999995</v>
      </c>
      <c r="R131" s="306">
        <f t="shared" ca="1" si="49"/>
        <v>0.57642585093133558</v>
      </c>
      <c r="S131" s="307">
        <f t="shared" ca="1" si="50"/>
        <v>7.6670492381982145</v>
      </c>
      <c r="T131" s="304">
        <f t="shared" ca="1" si="30"/>
        <v>75.21375302672449</v>
      </c>
      <c r="U131" s="311">
        <f t="shared" ca="1" si="31"/>
        <v>0</v>
      </c>
      <c r="V131" s="306">
        <f t="shared" ca="1" si="32"/>
        <v>1.2111001673166464</v>
      </c>
      <c r="W131" s="304">
        <f t="shared" ca="1" si="33"/>
        <v>126.75780381142788</v>
      </c>
      <c r="Y131" s="314" t="str">
        <f t="shared" ca="1" si="51"/>
        <v/>
      </c>
      <c r="Z131" s="315" t="str">
        <f t="shared" ca="1" si="52"/>
        <v/>
      </c>
      <c r="AA131" s="316" t="str">
        <f t="shared" ca="1" si="53"/>
        <v/>
      </c>
      <c r="AC131" s="310" t="e">
        <f t="shared" ca="1" si="54"/>
        <v>#N/A</v>
      </c>
      <c r="AD131" s="323" t="e">
        <f t="shared" ca="1" si="55"/>
        <v>#N/A</v>
      </c>
      <c r="AE131" s="324">
        <f t="shared" ca="1" si="34"/>
        <v>114.11544459327139</v>
      </c>
      <c r="AG131" s="306">
        <f t="shared" ca="1" si="56"/>
        <v>127.05606066911329</v>
      </c>
      <c r="AH131" s="304">
        <f t="shared" ca="1" si="57"/>
        <v>136.68089767888532</v>
      </c>
    </row>
    <row r="132" spans="1:34" x14ac:dyDescent="0.2">
      <c r="A132" s="347">
        <f t="shared" ca="1" si="35"/>
        <v>0.01</v>
      </c>
      <c r="B132" s="304">
        <f t="shared" ca="1" si="36"/>
        <v>1.2800000000000009</v>
      </c>
      <c r="D132" s="306">
        <f t="shared" ca="1" si="37"/>
        <v>26.317997480075103</v>
      </c>
      <c r="E132" s="307">
        <f t="shared" ca="1" si="38"/>
        <v>123.64648091840817</v>
      </c>
      <c r="F132" s="304">
        <f t="shared" ca="1" si="39"/>
        <v>126.41633294344334</v>
      </c>
      <c r="G132" s="306">
        <f t="shared" ca="1" si="40"/>
        <v>35.405291481750787</v>
      </c>
      <c r="H132" s="307">
        <f t="shared" ca="1" si="41"/>
        <v>179.43932911565443</v>
      </c>
      <c r="I132" s="304">
        <f t="shared" ca="1" si="42"/>
        <v>182.89889966422402</v>
      </c>
      <c r="J132" s="306">
        <f t="shared" ca="1" si="43"/>
        <v>22.144811799314695</v>
      </c>
      <c r="K132" s="307">
        <f t="shared" ca="1" si="44"/>
        <v>115.90365556038202</v>
      </c>
      <c r="L132" s="304">
        <f t="shared" ref="L132:L195" ca="1" si="58">SQRT(pos_x^2+pos_z^2)</f>
        <v>118.00021212644806</v>
      </c>
      <c r="M132" s="306">
        <f t="shared" ca="1" si="45"/>
        <v>1.3759880083255451</v>
      </c>
      <c r="N132" s="304">
        <f t="shared" ca="1" si="46"/>
        <v>78.838305537665718</v>
      </c>
      <c r="P132" s="310">
        <f t="shared" ca="1" si="47"/>
        <v>12</v>
      </c>
      <c r="Q132" s="304">
        <f t="shared" ca="1" si="48"/>
        <v>1168.8999999999996</v>
      </c>
      <c r="R132" s="306">
        <f t="shared" ca="1" si="49"/>
        <v>0.57443456949102623</v>
      </c>
      <c r="S132" s="307">
        <f t="shared" ca="1" si="50"/>
        <v>7.6613048925033045</v>
      </c>
      <c r="T132" s="304">
        <f t="shared" ref="T132:T195" ca="1" si="59">m*g</f>
        <v>75.157400995457422</v>
      </c>
      <c r="U132" s="311">
        <f t="shared" ref="U132:U195" ca="1" si="60">IF(pos_xz&lt;L_rampe,Poids*COS(Beta),0)</f>
        <v>0</v>
      </c>
      <c r="V132" s="306">
        <f t="shared" ref="V132:V195" ca="1" si="61">Rho_moyen*(20000-Alt_rampe-pos_z)/(20000+Alt_rampe+pos_z)</f>
        <v>1.210883609258367</v>
      </c>
      <c r="W132" s="304">
        <f t="shared" ref="W132:W195" ca="1" si="62">1/2*Rho*Sref*Cx*vit_xz^2</f>
        <v>128.50520998092225</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115.90365556038202</v>
      </c>
      <c r="AG132" s="306">
        <f t="shared" ca="1" si="56"/>
        <v>126.40208387344538</v>
      </c>
      <c r="AH132" s="304">
        <f t="shared" ca="1" si="57"/>
        <v>136.02672270729266</v>
      </c>
    </row>
    <row r="133" spans="1:34" x14ac:dyDescent="0.2">
      <c r="A133" s="347">
        <f t="shared" ref="A133:A196" ca="1" si="64">IF(B132+0.01&lt;=T_ini+ROUNDUP(Temps_fin_propu,0), 0.01, IF(K132&gt;0, 0.1, 0.0001))</f>
        <v>0.01</v>
      </c>
      <c r="B133" s="304">
        <f t="shared" ref="B133:B196" ca="1" si="65">B132+pas</f>
        <v>1.2900000000000009</v>
      </c>
      <c r="D133" s="306">
        <f t="shared" ref="D133:D196" ca="1" si="66">IF(AND(L132&lt;L_rampe,Poussee&lt;Poids*SIN(M132)),0,(-W132+Poussee)/m*COS(M132)-U132/m*SIN(M132))</f>
        <v>26.204892743467358</v>
      </c>
      <c r="E133" s="307">
        <f t="shared" ref="E133:E196" ca="1" si="67">IF(AND(L132&lt;L_rampe,Poussee&lt;Poids*SIN(M132)),0,(-W132+Poussee)/m*SIN(M132)+U132/m*COS(M132)-Poids/m)</f>
        <v>123.00032796634784</v>
      </c>
      <c r="F133" s="304">
        <f t="shared" ref="F133:F196" ca="1" si="68">SQRT(acc_x^2+acc_z^2)</f>
        <v>125.7607931094813</v>
      </c>
      <c r="G133" s="306">
        <f t="shared" ref="G133:G196" ca="1" si="69">G132+acc_x*pas</f>
        <v>35.667340409185464</v>
      </c>
      <c r="H133" s="307">
        <f t="shared" ref="H133:H196" ca="1" si="70">H132+acc_z*pas</f>
        <v>180.66933239531792</v>
      </c>
      <c r="I133" s="304">
        <f t="shared" ref="I133:I196" ca="1" si="71">SQRT(vit_x^2+vit_z^2)</f>
        <v>184.15636519011389</v>
      </c>
      <c r="J133" s="306">
        <f t="shared" ref="J133:J196" ca="1" si="72">J132+0.5*(vit_x+G132)*pas*(K132&gt;=0)</f>
        <v>22.500174958769378</v>
      </c>
      <c r="K133" s="307">
        <f t="shared" ref="K133:K196" ca="1" si="73">K132+0.5*(vit_z+H132)*pas</f>
        <v>117.70419886793688</v>
      </c>
      <c r="L133" s="304">
        <f t="shared" ca="1" si="58"/>
        <v>119.83545512208842</v>
      </c>
      <c r="M133" s="306">
        <f t="shared" ref="M133:M196" ca="1" si="74">IF(AND(L132&gt;L_rampe,G133&gt;0),ATAN2(G133,H133),$M$4)</f>
        <v>1.3758848891682711</v>
      </c>
      <c r="N133" s="304">
        <f t="shared" ref="N133:N196" ca="1" si="75">DEGREES(Beta)</f>
        <v>78.832397245166973</v>
      </c>
      <c r="P133" s="310">
        <f t="shared" ref="P133:P196" ca="1" si="76">MATCH(t-pas/2-T_ini,CdP_t)</f>
        <v>12</v>
      </c>
      <c r="Q133" s="304">
        <f t="shared" ref="Q133:Q196" ca="1" si="77">(INDEX(CdP,2,i_P+1)-INDEX(CdP,2,i_P+0))/(INDEX(CdP,1,i_P+1)-INDEX(CdP,1,i_P+0))*(t-pas/2-T_ini-INDEX(CdP,1,i_P+0))+INDEX(CdP,2,i_P+0)</f>
        <v>1164.8479999999995</v>
      </c>
      <c r="R133" s="306">
        <f t="shared" ref="R133:R196" ca="1" si="78">Poussee/(g*ISP)</f>
        <v>0.57244328805071676</v>
      </c>
      <c r="S133" s="307">
        <f t="shared" ref="S133:S196" ca="1" si="79">S132-Débit*pas</f>
        <v>7.6555804596227972</v>
      </c>
      <c r="T133" s="304">
        <f t="shared" ca="1" si="59"/>
        <v>75.101244308899638</v>
      </c>
      <c r="U133" s="311">
        <f t="shared" ca="1" si="60"/>
        <v>0</v>
      </c>
      <c r="V133" s="306">
        <f t="shared" ca="1" si="61"/>
        <v>1.2106655966120292</v>
      </c>
      <c r="W133" s="304">
        <f t="shared" ca="1" si="62"/>
        <v>130.25482499629697</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117.70419886793688</v>
      </c>
      <c r="AG133" s="306">
        <f t="shared" ref="AG133:AG196" ca="1" si="85">IF(AND(L132&lt;L_rampe,Poussee&lt;Poids*SIN(M132)),0,(-W132+Poussee)/m-Poids*SIN(M132)/m)</f>
        <v>125.74645467709234</v>
      </c>
      <c r="AH133" s="304">
        <f t="shared" ref="AH133:AH196" ca="1" si="86">IF(AND(L132&lt;L_rampe,Poussee&lt;Poids*SIN(M132)), g*SIN(M132), (-W132+Poussee)/m)</f>
        <v>135.37089649635001</v>
      </c>
    </row>
    <row r="134" spans="1:34" x14ac:dyDescent="0.2">
      <c r="A134" s="347">
        <f t="shared" ca="1" si="64"/>
        <v>0.01</v>
      </c>
      <c r="B134" s="304">
        <f t="shared" ca="1" si="65"/>
        <v>1.3000000000000009</v>
      </c>
      <c r="D134" s="306">
        <f t="shared" ca="1" si="66"/>
        <v>26.091253762012336</v>
      </c>
      <c r="E134" s="307">
        <f t="shared" ca="1" si="67"/>
        <v>122.35262677453855</v>
      </c>
      <c r="F134" s="304">
        <f t="shared" ca="1" si="68"/>
        <v>125.10363224744216</v>
      </c>
      <c r="G134" s="306">
        <f t="shared" ca="1" si="69"/>
        <v>35.928252946805586</v>
      </c>
      <c r="H134" s="307">
        <f t="shared" ca="1" si="70"/>
        <v>181.89285866306332</v>
      </c>
      <c r="I134" s="304">
        <f t="shared" ca="1" si="71"/>
        <v>185.40725819781375</v>
      </c>
      <c r="J134" s="306">
        <f t="shared" ca="1" si="72"/>
        <v>22.858152925549334</v>
      </c>
      <c r="K134" s="307">
        <f t="shared" ca="1" si="73"/>
        <v>119.51700982322879</v>
      </c>
      <c r="L134" s="304">
        <f t="shared" ca="1" si="58"/>
        <v>121.68323957001461</v>
      </c>
      <c r="M134" s="306">
        <f t="shared" ca="1" si="74"/>
        <v>1.3757824121999385</v>
      </c>
      <c r="N134" s="304">
        <f t="shared" ca="1" si="75"/>
        <v>78.82652574738421</v>
      </c>
      <c r="P134" s="310">
        <f t="shared" ca="1" si="76"/>
        <v>12</v>
      </c>
      <c r="Q134" s="304">
        <f t="shared" ca="1" si="77"/>
        <v>1160.7959999999996</v>
      </c>
      <c r="R134" s="306">
        <f t="shared" ca="1" si="78"/>
        <v>0.5704520066104074</v>
      </c>
      <c r="S134" s="307">
        <f t="shared" ca="1" si="79"/>
        <v>7.6498759395566935</v>
      </c>
      <c r="T134" s="304">
        <f t="shared" ca="1" si="59"/>
        <v>75.045282967051165</v>
      </c>
      <c r="U134" s="311">
        <f t="shared" ca="1" si="60"/>
        <v>0</v>
      </c>
      <c r="V134" s="306">
        <f t="shared" ca="1" si="61"/>
        <v>1.2104461380000351</v>
      </c>
      <c r="W134" s="304">
        <f t="shared" ca="1" si="62"/>
        <v>132.00642873719005</v>
      </c>
      <c r="Y134" s="314" t="str">
        <f t="shared" ca="1" si="80"/>
        <v/>
      </c>
      <c r="Z134" s="315" t="str">
        <f t="shared" ca="1" si="81"/>
        <v/>
      </c>
      <c r="AA134" s="316" t="str">
        <f t="shared" ca="1" si="82"/>
        <v/>
      </c>
      <c r="AC134" s="310" t="e">
        <f t="shared" ca="1" si="83"/>
        <v>#N/A</v>
      </c>
      <c r="AD134" s="323" t="e">
        <f t="shared" ca="1" si="84"/>
        <v>#N/A</v>
      </c>
      <c r="AE134" s="324">
        <f t="shared" ca="1" si="63"/>
        <v>119.51700982322879</v>
      </c>
      <c r="AG134" s="306">
        <f t="shared" ca="1" si="85"/>
        <v>125.08920341700014</v>
      </c>
      <c r="AH134" s="304">
        <f t="shared" ca="1" si="86"/>
        <v>134.7134493613006</v>
      </c>
    </row>
    <row r="135" spans="1:34" x14ac:dyDescent="0.2">
      <c r="A135" s="347">
        <f t="shared" ca="1" si="64"/>
        <v>0.01</v>
      </c>
      <c r="B135" s="304">
        <f t="shared" ca="1" si="65"/>
        <v>1.3100000000000009</v>
      </c>
      <c r="D135" s="306">
        <f t="shared" ca="1" si="66"/>
        <v>25.969871969304254</v>
      </c>
      <c r="E135" s="307">
        <f t="shared" ca="1" si="67"/>
        <v>121.66687026709428</v>
      </c>
      <c r="F135" s="304">
        <f t="shared" ca="1" si="68"/>
        <v>124.40764273424686</v>
      </c>
      <c r="G135" s="306">
        <f t="shared" ca="1" si="69"/>
        <v>36.187951666498627</v>
      </c>
      <c r="H135" s="307">
        <f t="shared" ca="1" si="70"/>
        <v>183.10952736573427</v>
      </c>
      <c r="I135" s="304">
        <f t="shared" ca="1" si="71"/>
        <v>186.65119034691267</v>
      </c>
      <c r="J135" s="306">
        <f t="shared" ca="1" si="72"/>
        <v>23.218733948615856</v>
      </c>
      <c r="K135" s="307">
        <f t="shared" ca="1" si="73"/>
        <v>121.34202175337278</v>
      </c>
      <c r="L135" s="304">
        <f t="shared" ca="1" si="58"/>
        <v>123.54349780288963</v>
      </c>
      <c r="M135" s="306">
        <f t="shared" ca="1" si="74"/>
        <v>1.3756805653473847</v>
      </c>
      <c r="N135" s="304">
        <f t="shared" ca="1" si="75"/>
        <v>78.820690352576193</v>
      </c>
      <c r="P135" s="310">
        <f t="shared" ca="1" si="76"/>
        <v>13</v>
      </c>
      <c r="Q135" s="304">
        <f t="shared" ca="1" si="77"/>
        <v>1156.4594999999995</v>
      </c>
      <c r="R135" s="306">
        <f t="shared" ca="1" si="78"/>
        <v>0.56832091283797359</v>
      </c>
      <c r="S135" s="307">
        <f t="shared" ca="1" si="79"/>
        <v>7.6441927304283137</v>
      </c>
      <c r="T135" s="304">
        <f t="shared" ca="1" si="59"/>
        <v>74.989530685501762</v>
      </c>
      <c r="U135" s="311">
        <f t="shared" ca="1" si="60"/>
        <v>0</v>
      </c>
      <c r="V135" s="306">
        <f t="shared" ca="1" si="61"/>
        <v>1.2102252422838218</v>
      </c>
      <c r="W135" s="304">
        <f t="shared" ca="1" si="62"/>
        <v>133.75926832173019</v>
      </c>
      <c r="Y135" s="314" t="str">
        <f t="shared" ca="1" si="80"/>
        <v/>
      </c>
      <c r="Z135" s="315" t="str">
        <f t="shared" ca="1" si="81"/>
        <v/>
      </c>
      <c r="AA135" s="316" t="str">
        <f t="shared" ca="1" si="82"/>
        <v/>
      </c>
      <c r="AC135" s="310" t="e">
        <f t="shared" ca="1" si="83"/>
        <v>#N/A</v>
      </c>
      <c r="AD135" s="323" t="e">
        <f t="shared" ca="1" si="84"/>
        <v>#N/A</v>
      </c>
      <c r="AE135" s="324">
        <f t="shared" ca="1" si="63"/>
        <v>121.34202175337278</v>
      </c>
      <c r="AG135" s="306">
        <f t="shared" ca="1" si="85"/>
        <v>124.3931181052928</v>
      </c>
      <c r="AH135" s="304">
        <f t="shared" ca="1" si="86"/>
        <v>134.0171692930887</v>
      </c>
    </row>
    <row r="136" spans="1:34" x14ac:dyDescent="0.2">
      <c r="A136" s="347">
        <f t="shared" ca="1" si="64"/>
        <v>0.01</v>
      </c>
      <c r="B136" s="304">
        <f t="shared" ca="1" si="65"/>
        <v>1.320000000000001</v>
      </c>
      <c r="D136" s="306">
        <f t="shared" ca="1" si="66"/>
        <v>25.840737261582237</v>
      </c>
      <c r="E136" s="307">
        <f t="shared" ca="1" si="67"/>
        <v>120.94305367810711</v>
      </c>
      <c r="F136" s="304">
        <f t="shared" ca="1" si="68"/>
        <v>123.67281809357956</v>
      </c>
      <c r="G136" s="306">
        <f t="shared" ca="1" si="69"/>
        <v>36.446359039114448</v>
      </c>
      <c r="H136" s="307">
        <f t="shared" ca="1" si="70"/>
        <v>184.31895790251534</v>
      </c>
      <c r="I136" s="304">
        <f t="shared" ca="1" si="71"/>
        <v>187.88777323039747</v>
      </c>
      <c r="J136" s="306">
        <f t="shared" ca="1" si="72"/>
        <v>23.581905502143922</v>
      </c>
      <c r="K136" s="307">
        <f t="shared" ca="1" si="73"/>
        <v>123.17916417971402</v>
      </c>
      <c r="L136" s="304">
        <f t="shared" ca="1" si="58"/>
        <v>125.41615826967826</v>
      </c>
      <c r="M136" s="306">
        <f t="shared" ca="1" si="74"/>
        <v>1.375579336631809</v>
      </c>
      <c r="N136" s="304">
        <f t="shared" ca="1" si="75"/>
        <v>78.814890374408179</v>
      </c>
      <c r="P136" s="310">
        <f t="shared" ca="1" si="76"/>
        <v>13</v>
      </c>
      <c r="Q136" s="304">
        <f t="shared" ca="1" si="77"/>
        <v>1151.8384999999994</v>
      </c>
      <c r="R136" s="306">
        <f t="shared" ca="1" si="78"/>
        <v>0.56605000673341543</v>
      </c>
      <c r="S136" s="307">
        <f t="shared" ca="1" si="79"/>
        <v>7.6385322303609797</v>
      </c>
      <c r="T136" s="304">
        <f t="shared" ca="1" si="59"/>
        <v>74.934001179841218</v>
      </c>
      <c r="U136" s="311">
        <f t="shared" ca="1" si="60"/>
        <v>0</v>
      </c>
      <c r="V136" s="306">
        <f t="shared" ca="1" si="61"/>
        <v>1.2100029187844485</v>
      </c>
      <c r="W136" s="304">
        <f t="shared" ca="1" si="62"/>
        <v>135.51257764463227</v>
      </c>
      <c r="Y136" s="314" t="str">
        <f t="shared" ca="1" si="80"/>
        <v/>
      </c>
      <c r="Z136" s="315" t="str">
        <f t="shared" ca="1" si="81"/>
        <v/>
      </c>
      <c r="AA136" s="316" t="str">
        <f t="shared" ca="1" si="82"/>
        <v/>
      </c>
      <c r="AC136" s="310" t="e">
        <f t="shared" ca="1" si="83"/>
        <v>#N/A</v>
      </c>
      <c r="AD136" s="323" t="e">
        <f t="shared" ca="1" si="84"/>
        <v>#N/A</v>
      </c>
      <c r="AE136" s="324">
        <f t="shared" ca="1" si="63"/>
        <v>123.17916417971402</v>
      </c>
      <c r="AG136" s="306">
        <f t="shared" ca="1" si="85"/>
        <v>123.65819208180272</v>
      </c>
      <c r="AH136" s="304">
        <f t="shared" ca="1" si="86"/>
        <v>133.28204961048613</v>
      </c>
    </row>
    <row r="137" spans="1:34" x14ac:dyDescent="0.2">
      <c r="A137" s="347">
        <f t="shared" ca="1" si="64"/>
        <v>0.01</v>
      </c>
      <c r="B137" s="304">
        <f t="shared" ca="1" si="65"/>
        <v>1.330000000000001</v>
      </c>
      <c r="D137" s="306">
        <f t="shared" ca="1" si="66"/>
        <v>25.711075079363933</v>
      </c>
      <c r="E137" s="307">
        <f t="shared" ca="1" si="67"/>
        <v>120.21776381848528</v>
      </c>
      <c r="F137" s="304">
        <f t="shared" ca="1" si="68"/>
        <v>122.93644748102085</v>
      </c>
      <c r="G137" s="306">
        <f t="shared" ca="1" si="69"/>
        <v>36.703469789908084</v>
      </c>
      <c r="H137" s="307">
        <f t="shared" ca="1" si="70"/>
        <v>185.52113554070019</v>
      </c>
      <c r="I137" s="304">
        <f t="shared" ca="1" si="71"/>
        <v>189.11699137552276</v>
      </c>
      <c r="J137" s="306">
        <f t="shared" ca="1" si="72"/>
        <v>23.947654646289035</v>
      </c>
      <c r="K137" s="307">
        <f t="shared" ca="1" si="73"/>
        <v>125.0283646469301</v>
      </c>
      <c r="L137" s="304">
        <f t="shared" ca="1" si="58"/>
        <v>127.30114739994941</v>
      </c>
      <c r="M137" s="306">
        <f t="shared" ca="1" si="74"/>
        <v>1.3754787143671061</v>
      </c>
      <c r="N137" s="304">
        <f t="shared" ca="1" si="75"/>
        <v>78.809125143315654</v>
      </c>
      <c r="P137" s="310">
        <f t="shared" ca="1" si="76"/>
        <v>13</v>
      </c>
      <c r="Q137" s="304">
        <f t="shared" ca="1" si="77"/>
        <v>1147.2174999999995</v>
      </c>
      <c r="R137" s="306">
        <f t="shared" ca="1" si="78"/>
        <v>0.56377910062885728</v>
      </c>
      <c r="S137" s="307">
        <f t="shared" ca="1" si="79"/>
        <v>7.6328944393546916</v>
      </c>
      <c r="T137" s="304">
        <f t="shared" ca="1" si="59"/>
        <v>74.878694450069531</v>
      </c>
      <c r="U137" s="311">
        <f t="shared" ca="1" si="60"/>
        <v>0</v>
      </c>
      <c r="V137" s="306">
        <f t="shared" ca="1" si="61"/>
        <v>1.2097791770607849</v>
      </c>
      <c r="W137" s="304">
        <f t="shared" ca="1" si="62"/>
        <v>137.2661190545912</v>
      </c>
      <c r="Y137" s="314" t="str">
        <f t="shared" ca="1" si="80"/>
        <v/>
      </c>
      <c r="Z137" s="315" t="str">
        <f t="shared" ca="1" si="81"/>
        <v/>
      </c>
      <c r="AA137" s="316" t="str">
        <f t="shared" ca="1" si="82"/>
        <v/>
      </c>
      <c r="AC137" s="310" t="e">
        <f t="shared" ca="1" si="83"/>
        <v>#N/A</v>
      </c>
      <c r="AD137" s="323" t="e">
        <f t="shared" ca="1" si="84"/>
        <v>#N/A</v>
      </c>
      <c r="AE137" s="324">
        <f t="shared" ca="1" si="63"/>
        <v>125.0283646469301</v>
      </c>
      <c r="AG137" s="306">
        <f t="shared" ca="1" si="85"/>
        <v>122.92171877356381</v>
      </c>
      <c r="AH137" s="304">
        <f t="shared" ca="1" si="86"/>
        <v>132.54538371958671</v>
      </c>
    </row>
    <row r="138" spans="1:34" x14ac:dyDescent="0.2">
      <c r="A138" s="347">
        <f t="shared" ca="1" si="64"/>
        <v>0.01</v>
      </c>
      <c r="B138" s="304">
        <f t="shared" ca="1" si="65"/>
        <v>1.340000000000001</v>
      </c>
      <c r="D138" s="306">
        <f t="shared" ca="1" si="66"/>
        <v>25.580894480954843</v>
      </c>
      <c r="E138" s="307">
        <f t="shared" ca="1" si="67"/>
        <v>119.49103391910018</v>
      </c>
      <c r="F138" s="304">
        <f t="shared" ca="1" si="68"/>
        <v>122.19856525140258</v>
      </c>
      <c r="G138" s="306">
        <f t="shared" ca="1" si="69"/>
        <v>36.959278734717635</v>
      </c>
      <c r="H138" s="307">
        <f t="shared" ca="1" si="70"/>
        <v>186.7160458798912</v>
      </c>
      <c r="I138" s="304">
        <f t="shared" ca="1" si="71"/>
        <v>190.33882965283829</v>
      </c>
      <c r="J138" s="306">
        <f t="shared" ca="1" si="72"/>
        <v>24.315968388912164</v>
      </c>
      <c r="K138" s="307">
        <f t="shared" ca="1" si="73"/>
        <v>126.88955055403305</v>
      </c>
      <c r="L138" s="304">
        <f t="shared" ca="1" si="58"/>
        <v>129.19839147023112</v>
      </c>
      <c r="M138" s="306">
        <f t="shared" ca="1" si="74"/>
        <v>1.375378687150097</v>
      </c>
      <c r="N138" s="304">
        <f t="shared" ca="1" si="75"/>
        <v>78.803394005944597</v>
      </c>
      <c r="P138" s="310">
        <f t="shared" ca="1" si="76"/>
        <v>13</v>
      </c>
      <c r="Q138" s="304">
        <f t="shared" ca="1" si="77"/>
        <v>1142.5964999999994</v>
      </c>
      <c r="R138" s="306">
        <f t="shared" ca="1" si="78"/>
        <v>0.56150819452429912</v>
      </c>
      <c r="S138" s="307">
        <f t="shared" ca="1" si="79"/>
        <v>7.6272793574094484</v>
      </c>
      <c r="T138" s="304">
        <f t="shared" ca="1" si="59"/>
        <v>74.823610496186689</v>
      </c>
      <c r="U138" s="311">
        <f t="shared" ca="1" si="60"/>
        <v>0</v>
      </c>
      <c r="V138" s="306">
        <f t="shared" ca="1" si="61"/>
        <v>1.2095540266877045</v>
      </c>
      <c r="W138" s="304">
        <f t="shared" ca="1" si="62"/>
        <v>139.01965628651521</v>
      </c>
      <c r="Y138" s="314" t="str">
        <f t="shared" ca="1" si="80"/>
        <v/>
      </c>
      <c r="Z138" s="315" t="str">
        <f t="shared" ca="1" si="81"/>
        <v/>
      </c>
      <c r="AA138" s="316" t="str">
        <f t="shared" ca="1" si="82"/>
        <v/>
      </c>
      <c r="AC138" s="310" t="e">
        <f t="shared" ca="1" si="83"/>
        <v>#N/A</v>
      </c>
      <c r="AD138" s="323" t="e">
        <f t="shared" ca="1" si="84"/>
        <v>#N/A</v>
      </c>
      <c r="AE138" s="324">
        <f t="shared" ca="1" si="63"/>
        <v>126.88955055403305</v>
      </c>
      <c r="AG138" s="306">
        <f t="shared" ca="1" si="85"/>
        <v>122.18373251032514</v>
      </c>
      <c r="AH138" s="304">
        <f t="shared" ca="1" si="86"/>
        <v>131.80720592969885</v>
      </c>
    </row>
    <row r="139" spans="1:34" x14ac:dyDescent="0.2">
      <c r="A139" s="347">
        <f t="shared" ca="1" si="64"/>
        <v>0.01</v>
      </c>
      <c r="B139" s="304">
        <f t="shared" ca="1" si="65"/>
        <v>1.350000000000001</v>
      </c>
      <c r="D139" s="306">
        <f t="shared" ca="1" si="66"/>
        <v>25.450204462828605</v>
      </c>
      <c r="E139" s="307">
        <f t="shared" ca="1" si="67"/>
        <v>118.76289716723744</v>
      </c>
      <c r="F139" s="304">
        <f t="shared" ca="1" si="68"/>
        <v>121.45920570609539</v>
      </c>
      <c r="G139" s="306">
        <f t="shared" ca="1" si="69"/>
        <v>37.213780779345925</v>
      </c>
      <c r="H139" s="307">
        <f t="shared" ca="1" si="70"/>
        <v>187.90367485156358</v>
      </c>
      <c r="I139" s="304">
        <f t="shared" ca="1" si="71"/>
        <v>191.55327327564871</v>
      </c>
      <c r="J139" s="306">
        <f t="shared" ca="1" si="72"/>
        <v>24.686833686482483</v>
      </c>
      <c r="K139" s="307">
        <f t="shared" ca="1" si="73"/>
        <v>128.76264915769033</v>
      </c>
      <c r="L139" s="304">
        <f t="shared" ca="1" si="58"/>
        <v>131.10781660744144</v>
      </c>
      <c r="M139" s="306">
        <f t="shared" ca="1" si="74"/>
        <v>1.3752792438511641</v>
      </c>
      <c r="N139" s="304">
        <f t="shared" ca="1" si="75"/>
        <v>78.797696324614876</v>
      </c>
      <c r="P139" s="310">
        <f t="shared" ca="1" si="76"/>
        <v>13</v>
      </c>
      <c r="Q139" s="304">
        <f t="shared" ca="1" si="77"/>
        <v>1137.9754999999996</v>
      </c>
      <c r="R139" s="306">
        <f t="shared" ca="1" si="78"/>
        <v>0.55923728841974096</v>
      </c>
      <c r="S139" s="307">
        <f t="shared" ca="1" si="79"/>
        <v>7.6216869845252511</v>
      </c>
      <c r="T139" s="304">
        <f t="shared" ca="1" si="59"/>
        <v>74.768749318192718</v>
      </c>
      <c r="U139" s="311">
        <f t="shared" ca="1" si="60"/>
        <v>0</v>
      </c>
      <c r="V139" s="306">
        <f t="shared" ca="1" si="61"/>
        <v>1.2093274772555609</v>
      </c>
      <c r="W139" s="304">
        <f t="shared" ca="1" si="62"/>
        <v>140.77295448722694</v>
      </c>
      <c r="Y139" s="314" t="str">
        <f t="shared" ca="1" si="80"/>
        <v/>
      </c>
      <c r="Z139" s="315" t="str">
        <f t="shared" ca="1" si="81"/>
        <v/>
      </c>
      <c r="AA139" s="316" t="str">
        <f t="shared" ca="1" si="82"/>
        <v/>
      </c>
      <c r="AC139" s="310" t="e">
        <f t="shared" ca="1" si="83"/>
        <v>#N/A</v>
      </c>
      <c r="AD139" s="323" t="e">
        <f t="shared" ca="1" si="84"/>
        <v>#N/A</v>
      </c>
      <c r="AE139" s="324">
        <f t="shared" ca="1" si="63"/>
        <v>128.76264915769033</v>
      </c>
      <c r="AG139" s="306">
        <f t="shared" ca="1" si="85"/>
        <v>121.44426756781444</v>
      </c>
      <c r="AH139" s="304">
        <f t="shared" ca="1" si="86"/>
        <v>131.06755049659239</v>
      </c>
    </row>
    <row r="140" spans="1:34" x14ac:dyDescent="0.2">
      <c r="A140" s="347">
        <f t="shared" ca="1" si="64"/>
        <v>0.01</v>
      </c>
      <c r="B140" s="304">
        <f t="shared" ca="1" si="65"/>
        <v>1.360000000000001</v>
      </c>
      <c r="D140" s="306">
        <f t="shared" ca="1" si="66"/>
        <v>25.319013960568594</v>
      </c>
      <c r="E140" s="307">
        <f t="shared" ca="1" si="67"/>
        <v>118.03338670177169</v>
      </c>
      <c r="F140" s="304">
        <f t="shared" ca="1" si="68"/>
        <v>120.71840308844978</v>
      </c>
      <c r="G140" s="306">
        <f t="shared" ca="1" si="69"/>
        <v>37.46697091895161</v>
      </c>
      <c r="H140" s="307">
        <f t="shared" ca="1" si="70"/>
        <v>189.08400871858129</v>
      </c>
      <c r="I140" s="304">
        <f t="shared" ca="1" si="71"/>
        <v>192.76030779942764</v>
      </c>
      <c r="J140" s="306">
        <f t="shared" ca="1" si="72"/>
        <v>25.060237444973971</v>
      </c>
      <c r="K140" s="307">
        <f t="shared" ca="1" si="73"/>
        <v>130.64758757554105</v>
      </c>
      <c r="L140" s="304">
        <f t="shared" ca="1" si="58"/>
        <v>133.02934879231404</v>
      </c>
      <c r="M140" s="306">
        <f t="shared" ca="1" si="74"/>
        <v>1.3751803736052666</v>
      </c>
      <c r="N140" s="304">
        <f t="shared" ca="1" si="75"/>
        <v>78.792031476805533</v>
      </c>
      <c r="P140" s="310">
        <f t="shared" ca="1" si="76"/>
        <v>13</v>
      </c>
      <c r="Q140" s="304">
        <f t="shared" ca="1" si="77"/>
        <v>1133.3544999999995</v>
      </c>
      <c r="R140" s="306">
        <f t="shared" ca="1" si="78"/>
        <v>0.55696638231518281</v>
      </c>
      <c r="S140" s="307">
        <f t="shared" ca="1" si="79"/>
        <v>7.6161173207020996</v>
      </c>
      <c r="T140" s="304">
        <f t="shared" ca="1" si="59"/>
        <v>74.714110916087606</v>
      </c>
      <c r="U140" s="311">
        <f t="shared" ca="1" si="60"/>
        <v>0</v>
      </c>
      <c r="V140" s="306">
        <f t="shared" ca="1" si="61"/>
        <v>1.2090995383696632</v>
      </c>
      <c r="W140" s="304">
        <f t="shared" ca="1" si="62"/>
        <v>142.52578024070391</v>
      </c>
      <c r="Y140" s="314" t="str">
        <f t="shared" ca="1" si="80"/>
        <v/>
      </c>
      <c r="Z140" s="315" t="str">
        <f t="shared" ca="1" si="81"/>
        <v/>
      </c>
      <c r="AA140" s="316" t="str">
        <f t="shared" ca="1" si="82"/>
        <v/>
      </c>
      <c r="AC140" s="310" t="e">
        <f t="shared" ca="1" si="83"/>
        <v>#N/A</v>
      </c>
      <c r="AD140" s="323" t="e">
        <f t="shared" ca="1" si="84"/>
        <v>#N/A</v>
      </c>
      <c r="AE140" s="324">
        <f t="shared" ca="1" si="63"/>
        <v>130.64758757554105</v>
      </c>
      <c r="AG140" s="306">
        <f t="shared" ca="1" si="85"/>
        <v>120.70335816316046</v>
      </c>
      <c r="AH140" s="304">
        <f t="shared" ca="1" si="86"/>
        <v>130.32645161790526</v>
      </c>
    </row>
    <row r="141" spans="1:34" x14ac:dyDescent="0.2">
      <c r="A141" s="347">
        <f t="shared" ca="1" si="64"/>
        <v>0.01</v>
      </c>
      <c r="B141" s="304">
        <f t="shared" ca="1" si="65"/>
        <v>1.370000000000001</v>
      </c>
      <c r="D141" s="306">
        <f t="shared" ca="1" si="66"/>
        <v>25.187331849739795</v>
      </c>
      <c r="E141" s="307">
        <f t="shared" ca="1" si="67"/>
        <v>117.30253560839668</v>
      </c>
      <c r="F141" s="304">
        <f t="shared" ca="1" si="68"/>
        <v>119.97619157927996</v>
      </c>
      <c r="G141" s="306">
        <f t="shared" ca="1" si="69"/>
        <v>37.718844237449005</v>
      </c>
      <c r="H141" s="307">
        <f t="shared" ca="1" si="70"/>
        <v>190.25703407466526</v>
      </c>
      <c r="I141" s="304">
        <f t="shared" ca="1" si="71"/>
        <v>193.95991912118669</v>
      </c>
      <c r="J141" s="306">
        <f t="shared" ca="1" si="72"/>
        <v>25.436166520755975</v>
      </c>
      <c r="K141" s="307">
        <f t="shared" ca="1" si="73"/>
        <v>132.5442927895073</v>
      </c>
      <c r="L141" s="304">
        <f t="shared" ca="1" si="58"/>
        <v>134.9629138628174</v>
      </c>
      <c r="M141" s="306">
        <f t="shared" ca="1" si="74"/>
        <v>1.3750820658033225</v>
      </c>
      <c r="N141" s="304">
        <f t="shared" ca="1" si="75"/>
        <v>78.786398854660916</v>
      </c>
      <c r="P141" s="310">
        <f t="shared" ca="1" si="76"/>
        <v>13</v>
      </c>
      <c r="Q141" s="304">
        <f t="shared" ca="1" si="77"/>
        <v>1128.7334999999994</v>
      </c>
      <c r="R141" s="306">
        <f t="shared" ca="1" si="78"/>
        <v>0.55469547621062465</v>
      </c>
      <c r="S141" s="307">
        <f t="shared" ca="1" si="79"/>
        <v>7.610570365939993</v>
      </c>
      <c r="T141" s="304">
        <f t="shared" ca="1" si="59"/>
        <v>74.659695289871337</v>
      </c>
      <c r="U141" s="311">
        <f t="shared" ca="1" si="60"/>
        <v>0</v>
      </c>
      <c r="V141" s="306">
        <f t="shared" ca="1" si="61"/>
        <v>1.2088702196497543</v>
      </c>
      <c r="W141" s="304">
        <f t="shared" ca="1" si="62"/>
        <v>144.27790159285669</v>
      </c>
      <c r="Y141" s="314" t="str">
        <f t="shared" ca="1" si="80"/>
        <v/>
      </c>
      <c r="Z141" s="315" t="str">
        <f t="shared" ca="1" si="81"/>
        <v/>
      </c>
      <c r="AA141" s="316" t="str">
        <f t="shared" ca="1" si="82"/>
        <v/>
      </c>
      <c r="AC141" s="310" t="e">
        <f t="shared" ca="1" si="83"/>
        <v>#N/A</v>
      </c>
      <c r="AD141" s="323" t="e">
        <f t="shared" ca="1" si="84"/>
        <v>#N/A</v>
      </c>
      <c r="AE141" s="324">
        <f t="shared" ca="1" si="63"/>
        <v>132.5442927895073</v>
      </c>
      <c r="AG141" s="306">
        <f t="shared" ca="1" si="85"/>
        <v>119.96103845035785</v>
      </c>
      <c r="AH141" s="304">
        <f t="shared" ca="1" si="86"/>
        <v>129.58394342859316</v>
      </c>
    </row>
    <row r="142" spans="1:34" x14ac:dyDescent="0.2">
      <c r="A142" s="347">
        <f t="shared" ca="1" si="64"/>
        <v>0.01</v>
      </c>
      <c r="B142" s="304">
        <f t="shared" ca="1" si="65"/>
        <v>1.380000000000001</v>
      </c>
      <c r="D142" s="306">
        <f t="shared" ca="1" si="66"/>
        <v>25.0551669466942</v>
      </c>
      <c r="E142" s="307">
        <f t="shared" ca="1" si="67"/>
        <v>116.57037691491107</v>
      </c>
      <c r="F142" s="304">
        <f t="shared" ca="1" si="68"/>
        <v>119.23260529239117</v>
      </c>
      <c r="G142" s="306">
        <f t="shared" ca="1" si="69"/>
        <v>37.969395906915949</v>
      </c>
      <c r="H142" s="307">
        <f t="shared" ca="1" si="70"/>
        <v>191.42273784381436</v>
      </c>
      <c r="I142" s="304">
        <f t="shared" ca="1" si="71"/>
        <v>195.15209347879875</v>
      </c>
      <c r="J142" s="306">
        <f t="shared" ca="1" si="72"/>
        <v>25.814607721477799</v>
      </c>
      <c r="K142" s="307">
        <f t="shared" ca="1" si="73"/>
        <v>134.45269164909971</v>
      </c>
      <c r="L142" s="304">
        <f t="shared" ca="1" si="58"/>
        <v>136.90843751756742</v>
      </c>
      <c r="M142" s="306">
        <f t="shared" ca="1" si="74"/>
        <v>1.3749843100839352</v>
      </c>
      <c r="N142" s="304">
        <f t="shared" ca="1" si="75"/>
        <v>78.780797864516771</v>
      </c>
      <c r="P142" s="310">
        <f t="shared" ca="1" si="76"/>
        <v>13</v>
      </c>
      <c r="Q142" s="304">
        <f t="shared" ca="1" si="77"/>
        <v>1124.1124999999995</v>
      </c>
      <c r="R142" s="306">
        <f t="shared" ca="1" si="78"/>
        <v>0.55242457010606649</v>
      </c>
      <c r="S142" s="307">
        <f t="shared" ca="1" si="79"/>
        <v>7.6050461202389323</v>
      </c>
      <c r="T142" s="304">
        <f t="shared" ca="1" si="59"/>
        <v>74.605502439543926</v>
      </c>
      <c r="U142" s="311">
        <f t="shared" ca="1" si="60"/>
        <v>0</v>
      </c>
      <c r="V142" s="306">
        <f t="shared" ca="1" si="61"/>
        <v>1.2086395307294884</v>
      </c>
      <c r="W142" s="304">
        <f t="shared" ca="1" si="62"/>
        <v>146.02908807583947</v>
      </c>
      <c r="Y142" s="314" t="str">
        <f t="shared" ca="1" si="80"/>
        <v/>
      </c>
      <c r="Z142" s="315" t="str">
        <f t="shared" ca="1" si="81"/>
        <v/>
      </c>
      <c r="AA142" s="316" t="str">
        <f t="shared" ca="1" si="82"/>
        <v/>
      </c>
      <c r="AC142" s="310" t="e">
        <f t="shared" ca="1" si="83"/>
        <v>#N/A</v>
      </c>
      <c r="AD142" s="323" t="e">
        <f t="shared" ca="1" si="84"/>
        <v>#N/A</v>
      </c>
      <c r="AE142" s="324">
        <f t="shared" ca="1" si="63"/>
        <v>134.45269164909971</v>
      </c>
      <c r="AG142" s="306">
        <f t="shared" ca="1" si="85"/>
        <v>119.21734251577458</v>
      </c>
      <c r="AH142" s="304">
        <f t="shared" ca="1" si="86"/>
        <v>128.84005999642233</v>
      </c>
    </row>
    <row r="143" spans="1:34" x14ac:dyDescent="0.2">
      <c r="A143" s="347">
        <f t="shared" ca="1" si="64"/>
        <v>0.01</v>
      </c>
      <c r="B143" s="304">
        <f t="shared" ca="1" si="65"/>
        <v>1.390000000000001</v>
      </c>
      <c r="D143" s="306">
        <f t="shared" ca="1" si="66"/>
        <v>24.922528009314092</v>
      </c>
      <c r="E143" s="307">
        <f t="shared" ca="1" si="67"/>
        <v>115.83694358656058</v>
      </c>
      <c r="F143" s="304">
        <f t="shared" ca="1" si="68"/>
        <v>118.48767827015206</v>
      </c>
      <c r="G143" s="306">
        <f t="shared" ca="1" si="69"/>
        <v>38.218621187009091</v>
      </c>
      <c r="H143" s="307">
        <f t="shared" ca="1" si="70"/>
        <v>192.58110727967997</v>
      </c>
      <c r="I143" s="304">
        <f t="shared" ca="1" si="71"/>
        <v>196.33681745027778</v>
      </c>
      <c r="J143" s="306">
        <f t="shared" ca="1" si="72"/>
        <v>26.195547806947424</v>
      </c>
      <c r="K143" s="307">
        <f t="shared" ca="1" si="73"/>
        <v>136.37271087471717</v>
      </c>
      <c r="L143" s="304">
        <f t="shared" ca="1" si="58"/>
        <v>138.86584531923344</v>
      </c>
      <c r="M143" s="306">
        <f t="shared" ca="1" si="74"/>
        <v>1.3748870963254509</v>
      </c>
      <c r="N143" s="304">
        <f t="shared" ca="1" si="75"/>
        <v>78.775227926445012</v>
      </c>
      <c r="P143" s="310">
        <f t="shared" ca="1" si="76"/>
        <v>13</v>
      </c>
      <c r="Q143" s="304">
        <f t="shared" ca="1" si="77"/>
        <v>1119.4914999999994</v>
      </c>
      <c r="R143" s="306">
        <f t="shared" ca="1" si="78"/>
        <v>0.55015366400150834</v>
      </c>
      <c r="S143" s="307">
        <f t="shared" ca="1" si="79"/>
        <v>7.5995445835989175</v>
      </c>
      <c r="T143" s="304">
        <f t="shared" ca="1" si="59"/>
        <v>74.551532365105388</v>
      </c>
      <c r="U143" s="311">
        <f t="shared" ca="1" si="60"/>
        <v>0</v>
      </c>
      <c r="V143" s="306">
        <f t="shared" ca="1" si="61"/>
        <v>1.2084074812559156</v>
      </c>
      <c r="W143" s="304">
        <f t="shared" ca="1" si="62"/>
        <v>147.77911073189478</v>
      </c>
      <c r="Y143" s="314" t="str">
        <f t="shared" ca="1" si="80"/>
        <v/>
      </c>
      <c r="Z143" s="315" t="str">
        <f t="shared" ca="1" si="81"/>
        <v/>
      </c>
      <c r="AA143" s="316" t="str">
        <f t="shared" ca="1" si="82"/>
        <v/>
      </c>
      <c r="AC143" s="310" t="e">
        <f t="shared" ca="1" si="83"/>
        <v>#N/A</v>
      </c>
      <c r="AD143" s="323" t="e">
        <f t="shared" ca="1" si="84"/>
        <v>#N/A</v>
      </c>
      <c r="AE143" s="324">
        <f t="shared" ca="1" si="63"/>
        <v>136.37271087471717</v>
      </c>
      <c r="AG143" s="306">
        <f t="shared" ca="1" si="85"/>
        <v>118.47230437370385</v>
      </c>
      <c r="AH143" s="304">
        <f t="shared" ca="1" si="86"/>
        <v>128.09483531750757</v>
      </c>
    </row>
    <row r="144" spans="1:34" x14ac:dyDescent="0.2">
      <c r="A144" s="347">
        <f t="shared" ca="1" si="64"/>
        <v>0.01</v>
      </c>
      <c r="B144" s="304">
        <f t="shared" ca="1" si="65"/>
        <v>1.400000000000001</v>
      </c>
      <c r="D144" s="306">
        <f t="shared" ca="1" si="66"/>
        <v>24.789423737696278</v>
      </c>
      <c r="E144" s="307">
        <f t="shared" ca="1" si="67"/>
        <v>115.1022685214362</v>
      </c>
      <c r="F144" s="304">
        <f t="shared" ca="1" si="68"/>
        <v>117.7414444791122</v>
      </c>
      <c r="G144" s="306">
        <f t="shared" ca="1" si="69"/>
        <v>38.466515424386053</v>
      </c>
      <c r="H144" s="307">
        <f t="shared" ca="1" si="70"/>
        <v>193.73212996489434</v>
      </c>
      <c r="I144" s="304">
        <f t="shared" ca="1" si="71"/>
        <v>197.5140779530139</v>
      </c>
      <c r="J144" s="306">
        <f t="shared" ca="1" si="72"/>
        <v>26.578973490004401</v>
      </c>
      <c r="K144" s="307">
        <f t="shared" ca="1" si="73"/>
        <v>138.30427706094005</v>
      </c>
      <c r="L144" s="304">
        <f t="shared" ca="1" si="58"/>
        <v>140.83506269793622</v>
      </c>
      <c r="M144" s="306">
        <f t="shared" ca="1" si="74"/>
        <v>1.3747904146383301</v>
      </c>
      <c r="N144" s="304">
        <f t="shared" ca="1" si="75"/>
        <v>78.769688473816785</v>
      </c>
      <c r="P144" s="310">
        <f t="shared" ca="1" si="76"/>
        <v>13</v>
      </c>
      <c r="Q144" s="304">
        <f t="shared" ca="1" si="77"/>
        <v>1114.8704999999993</v>
      </c>
      <c r="R144" s="306">
        <f t="shared" ca="1" si="78"/>
        <v>0.54788275789695007</v>
      </c>
      <c r="S144" s="307">
        <f t="shared" ca="1" si="79"/>
        <v>7.5940657560199476</v>
      </c>
      <c r="T144" s="304">
        <f t="shared" ca="1" si="59"/>
        <v>74.497785066555693</v>
      </c>
      <c r="U144" s="311">
        <f t="shared" ca="1" si="60"/>
        <v>0</v>
      </c>
      <c r="V144" s="306">
        <f t="shared" ca="1" si="61"/>
        <v>1.2081740808889621</v>
      </c>
      <c r="W144" s="304">
        <f t="shared" ca="1" si="62"/>
        <v>149.52774213672564</v>
      </c>
      <c r="Y144" s="314" t="str">
        <f t="shared" ca="1" si="80"/>
        <v/>
      </c>
      <c r="Z144" s="315" t="str">
        <f t="shared" ca="1" si="81"/>
        <v/>
      </c>
      <c r="AA144" s="316" t="str">
        <f t="shared" ca="1" si="82"/>
        <v/>
      </c>
      <c r="AC144" s="310" t="e">
        <f t="shared" ca="1" si="83"/>
        <v>#N/A</v>
      </c>
      <c r="AD144" s="323" t="e">
        <f t="shared" ca="1" si="84"/>
        <v>#N/A</v>
      </c>
      <c r="AE144" s="324">
        <f t="shared" ca="1" si="63"/>
        <v>138.30427706094005</v>
      </c>
      <c r="AG144" s="306">
        <f t="shared" ca="1" si="85"/>
        <v>117.72595796196043</v>
      </c>
      <c r="AH144" s="304">
        <f t="shared" ca="1" si="86"/>
        <v>127.34830331189514</v>
      </c>
    </row>
    <row r="145" spans="1:34" x14ac:dyDescent="0.2">
      <c r="A145" s="347">
        <f t="shared" ca="1" si="64"/>
        <v>0.01</v>
      </c>
      <c r="B145" s="304">
        <f t="shared" ca="1" si="65"/>
        <v>1.410000000000001</v>
      </c>
      <c r="D145" s="306">
        <f t="shared" ca="1" si="66"/>
        <v>24.5690350701577</v>
      </c>
      <c r="E145" s="307">
        <f t="shared" ca="1" si="67"/>
        <v>113.92908691262248</v>
      </c>
      <c r="F145" s="304">
        <f t="shared" ca="1" si="68"/>
        <v>116.54816313019491</v>
      </c>
      <c r="G145" s="306">
        <f t="shared" ca="1" si="69"/>
        <v>38.712205775087632</v>
      </c>
      <c r="H145" s="307">
        <f t="shared" ca="1" si="70"/>
        <v>194.87142083402057</v>
      </c>
      <c r="I145" s="304">
        <f t="shared" ca="1" si="71"/>
        <v>198.67940389945474</v>
      </c>
      <c r="J145" s="306">
        <f t="shared" ca="1" si="72"/>
        <v>26.964867096001768</v>
      </c>
      <c r="K145" s="307">
        <f t="shared" ca="1" si="73"/>
        <v>140.24729481493463</v>
      </c>
      <c r="L145" s="304">
        <f t="shared" ca="1" si="58"/>
        <v>142.81599266332964</v>
      </c>
      <c r="M145" s="306">
        <f t="shared" ca="1" si="74"/>
        <v>1.3746942532000133</v>
      </c>
      <c r="N145" s="304">
        <f t="shared" ca="1" si="75"/>
        <v>78.764178829249317</v>
      </c>
      <c r="P145" s="310">
        <f t="shared" ca="1" si="76"/>
        <v>14</v>
      </c>
      <c r="Q145" s="304">
        <f t="shared" ca="1" si="77"/>
        <v>1106.868333333332</v>
      </c>
      <c r="R145" s="306">
        <f t="shared" ca="1" si="78"/>
        <v>0.54395023914927065</v>
      </c>
      <c r="S145" s="307">
        <f t="shared" ca="1" si="79"/>
        <v>7.5886262536284548</v>
      </c>
      <c r="T145" s="304">
        <f t="shared" ca="1" si="59"/>
        <v>74.444423548095145</v>
      </c>
      <c r="U145" s="311">
        <f t="shared" ca="1" si="60"/>
        <v>0</v>
      </c>
      <c r="V145" s="306">
        <f t="shared" ca="1" si="61"/>
        <v>1.2079393419421893</v>
      </c>
      <c r="W145" s="304">
        <f t="shared" ca="1" si="62"/>
        <v>151.26796780458326</v>
      </c>
      <c r="Y145" s="314" t="str">
        <f t="shared" ca="1" si="80"/>
        <v/>
      </c>
      <c r="Z145" s="315" t="str">
        <f t="shared" ca="1" si="81"/>
        <v/>
      </c>
      <c r="AA145" s="316" t="str">
        <f t="shared" ca="1" si="82"/>
        <v/>
      </c>
      <c r="AC145" s="310" t="e">
        <f t="shared" ca="1" si="83"/>
        <v>#N/A</v>
      </c>
      <c r="AD145" s="323" t="e">
        <f t="shared" ca="1" si="84"/>
        <v>#N/A</v>
      </c>
      <c r="AE145" s="324">
        <f t="shared" ca="1" si="63"/>
        <v>140.24729481493463</v>
      </c>
      <c r="AG145" s="306">
        <f t="shared" ca="1" si="85"/>
        <v>116.53250278444374</v>
      </c>
      <c r="AH145" s="304">
        <f t="shared" ca="1" si="86"/>
        <v>126.15466346611282</v>
      </c>
    </row>
    <row r="146" spans="1:34" x14ac:dyDescent="0.2">
      <c r="A146" s="347">
        <f t="shared" ca="1" si="64"/>
        <v>0.01</v>
      </c>
      <c r="B146" s="304">
        <f t="shared" ca="1" si="65"/>
        <v>1.420000000000001</v>
      </c>
      <c r="D146" s="306">
        <f t="shared" ca="1" si="66"/>
        <v>24.261181351253182</v>
      </c>
      <c r="E146" s="307">
        <f t="shared" ca="1" si="67"/>
        <v>112.31713758803758</v>
      </c>
      <c r="F146" s="304">
        <f t="shared" ca="1" si="68"/>
        <v>114.90754682147104</v>
      </c>
      <c r="G146" s="306">
        <f t="shared" ca="1" si="69"/>
        <v>38.954817588600164</v>
      </c>
      <c r="H146" s="307">
        <f t="shared" ca="1" si="70"/>
        <v>195.99459220990096</v>
      </c>
      <c r="I146" s="304">
        <f t="shared" ca="1" si="71"/>
        <v>199.82832128826604</v>
      </c>
      <c r="J146" s="306">
        <f t="shared" ca="1" si="72"/>
        <v>27.353202212820207</v>
      </c>
      <c r="K146" s="307">
        <f t="shared" ca="1" si="73"/>
        <v>142.20162488015424</v>
      </c>
      <c r="L146" s="304">
        <f t="shared" ca="1" si="58"/>
        <v>144.80849350038667</v>
      </c>
      <c r="M146" s="306">
        <f t="shared" ca="1" si="74"/>
        <v>1.3745985983406863</v>
      </c>
      <c r="N146" s="304">
        <f t="shared" ca="1" si="75"/>
        <v>78.758698209519977</v>
      </c>
      <c r="P146" s="310">
        <f t="shared" ca="1" si="76"/>
        <v>14</v>
      </c>
      <c r="Q146" s="304">
        <f t="shared" ca="1" si="77"/>
        <v>1095.4849999999985</v>
      </c>
      <c r="R146" s="306">
        <f t="shared" ca="1" si="78"/>
        <v>0.53835610775847054</v>
      </c>
      <c r="S146" s="307">
        <f t="shared" ca="1" si="79"/>
        <v>7.5832426925508702</v>
      </c>
      <c r="T146" s="304">
        <f t="shared" ca="1" si="59"/>
        <v>74.391610813924046</v>
      </c>
      <c r="U146" s="311">
        <f t="shared" ca="1" si="60"/>
        <v>0</v>
      </c>
      <c r="V146" s="306">
        <f t="shared" ca="1" si="61"/>
        <v>1.2077032820222575</v>
      </c>
      <c r="W146" s="304">
        <f t="shared" ca="1" si="62"/>
        <v>152.99261792364993</v>
      </c>
      <c r="Y146" s="314" t="str">
        <f t="shared" ca="1" si="80"/>
        <v/>
      </c>
      <c r="Z146" s="315" t="str">
        <f t="shared" ca="1" si="81"/>
        <v/>
      </c>
      <c r="AA146" s="316" t="str">
        <f t="shared" ca="1" si="82"/>
        <v/>
      </c>
      <c r="AC146" s="310" t="e">
        <f t="shared" ca="1" si="83"/>
        <v>#N/A</v>
      </c>
      <c r="AD146" s="323" t="e">
        <f t="shared" ca="1" si="84"/>
        <v>#N/A</v>
      </c>
      <c r="AE146" s="324">
        <f t="shared" ca="1" si="63"/>
        <v>142.20162488015424</v>
      </c>
      <c r="AG146" s="306">
        <f t="shared" ca="1" si="85"/>
        <v>114.89164746114953</v>
      </c>
      <c r="AH146" s="304">
        <f t="shared" ca="1" si="86"/>
        <v>124.51362437904478</v>
      </c>
    </row>
    <row r="147" spans="1:34" x14ac:dyDescent="0.2">
      <c r="A147" s="347">
        <f t="shared" ca="1" si="64"/>
        <v>0.01</v>
      </c>
      <c r="B147" s="304">
        <f t="shared" ca="1" si="65"/>
        <v>1.430000000000001</v>
      </c>
      <c r="D147" s="306">
        <f t="shared" ca="1" si="66"/>
        <v>23.952726112110568</v>
      </c>
      <c r="E147" s="307">
        <f t="shared" ca="1" si="67"/>
        <v>110.70410011049303</v>
      </c>
      <c r="F147" s="304">
        <f t="shared" ca="1" si="68"/>
        <v>113.26575329496488</v>
      </c>
      <c r="G147" s="306">
        <f t="shared" ca="1" si="69"/>
        <v>39.194344849721269</v>
      </c>
      <c r="H147" s="307">
        <f t="shared" ca="1" si="70"/>
        <v>197.10163321100589</v>
      </c>
      <c r="I147" s="304">
        <f t="shared" ca="1" si="71"/>
        <v>200.96081827720738</v>
      </c>
      <c r="J147" s="306">
        <f t="shared" ca="1" si="72"/>
        <v>27.743948025011814</v>
      </c>
      <c r="K147" s="307">
        <f t="shared" ca="1" si="73"/>
        <v>144.16710600725878</v>
      </c>
      <c r="L147" s="304">
        <f t="shared" ca="1" si="58"/>
        <v>146.81240106517825</v>
      </c>
      <c r="M147" s="306">
        <f t="shared" ca="1" si="74"/>
        <v>1.374503436736912</v>
      </c>
      <c r="N147" s="304">
        <f t="shared" ca="1" si="75"/>
        <v>78.753245851252004</v>
      </c>
      <c r="P147" s="310">
        <f t="shared" ca="1" si="76"/>
        <v>14</v>
      </c>
      <c r="Q147" s="304">
        <f t="shared" ca="1" si="77"/>
        <v>1084.1016666666653</v>
      </c>
      <c r="R147" s="306">
        <f t="shared" ca="1" si="78"/>
        <v>0.53276197636767053</v>
      </c>
      <c r="S147" s="307">
        <f t="shared" ca="1" si="79"/>
        <v>7.5779150727871931</v>
      </c>
      <c r="T147" s="304">
        <f t="shared" ca="1" si="59"/>
        <v>74.339346864042369</v>
      </c>
      <c r="U147" s="311">
        <f t="shared" ca="1" si="60"/>
        <v>0</v>
      </c>
      <c r="V147" s="306">
        <f t="shared" ca="1" si="61"/>
        <v>1.2074659213826493</v>
      </c>
      <c r="W147" s="304">
        <f t="shared" ca="1" si="62"/>
        <v>154.70124643919848</v>
      </c>
      <c r="Y147" s="314" t="str">
        <f t="shared" ca="1" si="80"/>
        <v/>
      </c>
      <c r="Z147" s="315" t="str">
        <f t="shared" ca="1" si="81"/>
        <v/>
      </c>
      <c r="AA147" s="316" t="str">
        <f t="shared" ca="1" si="82"/>
        <v/>
      </c>
      <c r="AC147" s="310" t="e">
        <f t="shared" ca="1" si="83"/>
        <v>#N/A</v>
      </c>
      <c r="AD147" s="323" t="e">
        <f t="shared" ca="1" si="84"/>
        <v>#N/A</v>
      </c>
      <c r="AE147" s="324">
        <f t="shared" ca="1" si="63"/>
        <v>144.16710600725878</v>
      </c>
      <c r="AG147" s="306">
        <f t="shared" ca="1" si="85"/>
        <v>113.24960790178028</v>
      </c>
      <c r="AH147" s="304">
        <f t="shared" ca="1" si="86"/>
        <v>122.87140193569748</v>
      </c>
    </row>
    <row r="148" spans="1:34" x14ac:dyDescent="0.2">
      <c r="A148" s="347">
        <f t="shared" ca="1" si="64"/>
        <v>0.01</v>
      </c>
      <c r="B148" s="304">
        <f t="shared" ca="1" si="65"/>
        <v>1.4400000000000011</v>
      </c>
      <c r="D148" s="306">
        <f t="shared" ca="1" si="66"/>
        <v>23.643691163223728</v>
      </c>
      <c r="E148" s="307">
        <f t="shared" ca="1" si="67"/>
        <v>109.0900648250705</v>
      </c>
      <c r="F148" s="304">
        <f t="shared" ca="1" si="68"/>
        <v>111.62287568128671</v>
      </c>
      <c r="G148" s="306">
        <f t="shared" ca="1" si="69"/>
        <v>39.430781761353508</v>
      </c>
      <c r="H148" s="307">
        <f t="shared" ca="1" si="70"/>
        <v>198.1925338592566</v>
      </c>
      <c r="I148" s="304">
        <f t="shared" ca="1" si="71"/>
        <v>202.07688395228203</v>
      </c>
      <c r="J148" s="306">
        <f t="shared" ca="1" si="72"/>
        <v>28.137073658067187</v>
      </c>
      <c r="K148" s="307">
        <f t="shared" ca="1" si="73"/>
        <v>146.14357684261009</v>
      </c>
      <c r="L148" s="304">
        <f t="shared" ca="1" si="58"/>
        <v>148.82755109989338</v>
      </c>
      <c r="M148" s="306">
        <f t="shared" ca="1" si="74"/>
        <v>1.3744087553980298</v>
      </c>
      <c r="N148" s="304">
        <f t="shared" ca="1" si="75"/>
        <v>78.747821010135411</v>
      </c>
      <c r="P148" s="310">
        <f t="shared" ca="1" si="76"/>
        <v>14</v>
      </c>
      <c r="Q148" s="304">
        <f t="shared" ca="1" si="77"/>
        <v>1072.7183333333319</v>
      </c>
      <c r="R148" s="306">
        <f t="shared" ca="1" si="78"/>
        <v>0.52716784497687041</v>
      </c>
      <c r="S148" s="307">
        <f t="shared" ca="1" si="79"/>
        <v>7.5726433943374243</v>
      </c>
      <c r="T148" s="304">
        <f t="shared" ca="1" si="59"/>
        <v>74.287631698450141</v>
      </c>
      <c r="U148" s="311">
        <f t="shared" ca="1" si="60"/>
        <v>0</v>
      </c>
      <c r="V148" s="306">
        <f t="shared" ca="1" si="61"/>
        <v>1.207227280278298</v>
      </c>
      <c r="W148" s="304">
        <f t="shared" ca="1" si="62"/>
        <v>156.39341508474755</v>
      </c>
      <c r="Y148" s="314" t="str">
        <f t="shared" ca="1" si="80"/>
        <v/>
      </c>
      <c r="Z148" s="315" t="str">
        <f t="shared" ca="1" si="81"/>
        <v/>
      </c>
      <c r="AA148" s="316" t="str">
        <f t="shared" ca="1" si="82"/>
        <v/>
      </c>
      <c r="AC148" s="310" t="e">
        <f t="shared" ca="1" si="83"/>
        <v>#N/A</v>
      </c>
      <c r="AD148" s="323" t="e">
        <f t="shared" ca="1" si="84"/>
        <v>#N/A</v>
      </c>
      <c r="AE148" s="324">
        <f t="shared" ca="1" si="63"/>
        <v>146.14357684261009</v>
      </c>
      <c r="AG148" s="306">
        <f t="shared" ca="1" si="85"/>
        <v>111.60647693098791</v>
      </c>
      <c r="AH148" s="304">
        <f t="shared" ca="1" si="86"/>
        <v>121.22808893663165</v>
      </c>
    </row>
    <row r="149" spans="1:34" x14ac:dyDescent="0.2">
      <c r="A149" s="347">
        <f t="shared" ca="1" si="64"/>
        <v>0.01</v>
      </c>
      <c r="B149" s="304">
        <f t="shared" ca="1" si="65"/>
        <v>1.4500000000000011</v>
      </c>
      <c r="D149" s="306">
        <f t="shared" ca="1" si="66"/>
        <v>23.334098087134585</v>
      </c>
      <c r="E149" s="307">
        <f t="shared" ca="1" si="67"/>
        <v>107.47512138560474</v>
      </c>
      <c r="F149" s="304">
        <f t="shared" ca="1" si="68"/>
        <v>109.97900640754348</v>
      </c>
      <c r="G149" s="306">
        <f t="shared" ca="1" si="69"/>
        <v>39.664122742224855</v>
      </c>
      <c r="H149" s="307">
        <f t="shared" ca="1" si="70"/>
        <v>199.26728507311265</v>
      </c>
      <c r="I149" s="304">
        <f t="shared" ca="1" si="71"/>
        <v>203.17650832052269</v>
      </c>
      <c r="J149" s="306">
        <f t="shared" ca="1" si="72"/>
        <v>28.532548180585078</v>
      </c>
      <c r="K149" s="307">
        <f t="shared" ca="1" si="73"/>
        <v>148.13087593727192</v>
      </c>
      <c r="L149" s="304">
        <f t="shared" ca="1" si="58"/>
        <v>150.85377924208876</v>
      </c>
      <c r="M149" s="306">
        <f t="shared" ca="1" si="74"/>
        <v>1.3743145416531781</v>
      </c>
      <c r="N149" s="304">
        <f t="shared" ca="1" si="75"/>
        <v>78.742422960183291</v>
      </c>
      <c r="P149" s="310">
        <f t="shared" ca="1" si="76"/>
        <v>14</v>
      </c>
      <c r="Q149" s="304">
        <f t="shared" ca="1" si="77"/>
        <v>1061.3349999999984</v>
      </c>
      <c r="R149" s="306">
        <f t="shared" ca="1" si="78"/>
        <v>0.5215737135860703</v>
      </c>
      <c r="S149" s="307">
        <f t="shared" ca="1" si="79"/>
        <v>7.5674276572015637</v>
      </c>
      <c r="T149" s="304">
        <f t="shared" ca="1" si="59"/>
        <v>74.236465317147349</v>
      </c>
      <c r="U149" s="311">
        <f t="shared" ca="1" si="60"/>
        <v>0</v>
      </c>
      <c r="V149" s="306">
        <f t="shared" ca="1" si="61"/>
        <v>1.2069873789642815</v>
      </c>
      <c r="W149" s="304">
        <f t="shared" ca="1" si="62"/>
        <v>158.06869341972842</v>
      </c>
      <c r="Y149" s="314" t="str">
        <f t="shared" ca="1" si="80"/>
        <v/>
      </c>
      <c r="Z149" s="315" t="str">
        <f t="shared" ca="1" si="81"/>
        <v/>
      </c>
      <c r="AA149" s="316" t="str">
        <f t="shared" ca="1" si="82"/>
        <v/>
      </c>
      <c r="AC149" s="310" t="e">
        <f t="shared" ca="1" si="83"/>
        <v>#N/A</v>
      </c>
      <c r="AD149" s="323" t="e">
        <f t="shared" ca="1" si="84"/>
        <v>#N/A</v>
      </c>
      <c r="AE149" s="324">
        <f t="shared" ca="1" si="63"/>
        <v>148.13087593727192</v>
      </c>
      <c r="AG149" s="306">
        <f t="shared" ca="1" si="85"/>
        <v>109.96234665199597</v>
      </c>
      <c r="AH149" s="304">
        <f t="shared" ca="1" si="86"/>
        <v>119.58377746156063</v>
      </c>
    </row>
    <row r="150" spans="1:34" x14ac:dyDescent="0.2">
      <c r="A150" s="347">
        <f t="shared" ca="1" si="64"/>
        <v>0.01</v>
      </c>
      <c r="B150" s="304">
        <f t="shared" ca="1" si="65"/>
        <v>1.4600000000000011</v>
      </c>
      <c r="D150" s="306">
        <f t="shared" ca="1" si="66"/>
        <v>23.023968238926141</v>
      </c>
      <c r="E150" s="307">
        <f t="shared" ca="1" si="67"/>
        <v>105.85935874006523</v>
      </c>
      <c r="F150" s="304">
        <f t="shared" ca="1" si="68"/>
        <v>108.3342371843957</v>
      </c>
      <c r="G150" s="306">
        <f t="shared" ca="1" si="69"/>
        <v>39.894362424614116</v>
      </c>
      <c r="H150" s="307">
        <f t="shared" ca="1" si="70"/>
        <v>200.3258786605133</v>
      </c>
      <c r="I150" s="304">
        <f t="shared" ca="1" si="71"/>
        <v>204.25968230263445</v>
      </c>
      <c r="J150" s="306">
        <f t="shared" ca="1" si="72"/>
        <v>28.930340606419271</v>
      </c>
      <c r="K150" s="307">
        <f t="shared" ca="1" si="73"/>
        <v>150.12884175594004</v>
      </c>
      <c r="L150" s="304">
        <f t="shared" ca="1" si="58"/>
        <v>152.89092103386491</v>
      </c>
      <c r="M150" s="306">
        <f t="shared" ca="1" si="74"/>
        <v>1.3742207831388991</v>
      </c>
      <c r="N150" s="304">
        <f t="shared" ca="1" si="75"/>
        <v>78.737050993021683</v>
      </c>
      <c r="P150" s="310">
        <f t="shared" ca="1" si="76"/>
        <v>14</v>
      </c>
      <c r="Q150" s="304">
        <f t="shared" ca="1" si="77"/>
        <v>1049.9516666666652</v>
      </c>
      <c r="R150" s="306">
        <f t="shared" ca="1" si="78"/>
        <v>0.51597958219527029</v>
      </c>
      <c r="S150" s="307">
        <f t="shared" ca="1" si="79"/>
        <v>7.5622678613796106</v>
      </c>
      <c r="T150" s="304">
        <f t="shared" ca="1" si="59"/>
        <v>74.185847720133978</v>
      </c>
      <c r="U150" s="311">
        <f t="shared" ca="1" si="60"/>
        <v>0</v>
      </c>
      <c r="V150" s="306">
        <f t="shared" ca="1" si="61"/>
        <v>1.2067462376945277</v>
      </c>
      <c r="W150" s="304">
        <f t="shared" ca="1" si="62"/>
        <v>159.7266588645025</v>
      </c>
      <c r="Y150" s="314" t="str">
        <f t="shared" ca="1" si="80"/>
        <v/>
      </c>
      <c r="Z150" s="315" t="str">
        <f t="shared" ca="1" si="81"/>
        <v/>
      </c>
      <c r="AA150" s="316" t="str">
        <f t="shared" ca="1" si="82"/>
        <v/>
      </c>
      <c r="AC150" s="310" t="e">
        <f t="shared" ca="1" si="83"/>
        <v>#N/A</v>
      </c>
      <c r="AD150" s="323" t="e">
        <f t="shared" ca="1" si="84"/>
        <v>#N/A</v>
      </c>
      <c r="AE150" s="324">
        <f t="shared" ca="1" si="63"/>
        <v>150.12884175594004</v>
      </c>
      <c r="AG150" s="306">
        <f t="shared" ca="1" si="85"/>
        <v>108.31730843231726</v>
      </c>
      <c r="AH150" s="304">
        <f t="shared" ca="1" si="86"/>
        <v>117.9385588550453</v>
      </c>
    </row>
    <row r="151" spans="1:34" x14ac:dyDescent="0.2">
      <c r="A151" s="347">
        <f t="shared" ca="1" si="64"/>
        <v>0.01</v>
      </c>
      <c r="B151" s="304">
        <f t="shared" ca="1" si="65"/>
        <v>1.4700000000000011</v>
      </c>
      <c r="D151" s="306">
        <f t="shared" ca="1" si="66"/>
        <v>22.713322746620811</v>
      </c>
      <c r="E151" s="307">
        <f t="shared" ca="1" si="67"/>
        <v>104.24286511633348</v>
      </c>
      <c r="F151" s="304">
        <f t="shared" ca="1" si="68"/>
        <v>106.68865899360746</v>
      </c>
      <c r="G151" s="306">
        <f t="shared" ca="1" si="69"/>
        <v>40.121495652080327</v>
      </c>
      <c r="H151" s="307">
        <f t="shared" ca="1" si="70"/>
        <v>201.36830731167663</v>
      </c>
      <c r="I151" s="304">
        <f t="shared" ca="1" si="71"/>
        <v>205.32639772549885</v>
      </c>
      <c r="J151" s="306">
        <f t="shared" ca="1" si="72"/>
        <v>29.330419896802745</v>
      </c>
      <c r="K151" s="307">
        <f t="shared" ca="1" si="73"/>
        <v>152.13731268580099</v>
      </c>
      <c r="L151" s="304">
        <f t="shared" ca="1" si="58"/>
        <v>154.93881193096826</v>
      </c>
      <c r="M151" s="306">
        <f t="shared" ca="1" si="74"/>
        <v>1.3741274677872977</v>
      </c>
      <c r="N151" s="304">
        <f t="shared" ca="1" si="75"/>
        <v>78.731704417211134</v>
      </c>
      <c r="P151" s="310">
        <f t="shared" ca="1" si="76"/>
        <v>14</v>
      </c>
      <c r="Q151" s="304">
        <f t="shared" ca="1" si="77"/>
        <v>1038.5683333333318</v>
      </c>
      <c r="R151" s="306">
        <f t="shared" ca="1" si="78"/>
        <v>0.51038545080447029</v>
      </c>
      <c r="S151" s="307">
        <f t="shared" ca="1" si="79"/>
        <v>7.5571640068715658</v>
      </c>
      <c r="T151" s="304">
        <f t="shared" ca="1" si="59"/>
        <v>74.135778907410071</v>
      </c>
      <c r="U151" s="311">
        <f t="shared" ca="1" si="60"/>
        <v>0</v>
      </c>
      <c r="V151" s="306">
        <f t="shared" ca="1" si="61"/>
        <v>1.2065038767205316</v>
      </c>
      <c r="W151" s="304">
        <f t="shared" ca="1" si="62"/>
        <v>161.36689673275123</v>
      </c>
      <c r="Y151" s="314" t="str">
        <f t="shared" ca="1" si="80"/>
        <v/>
      </c>
      <c r="Z151" s="315" t="str">
        <f t="shared" ca="1" si="81"/>
        <v/>
      </c>
      <c r="AA151" s="316" t="str">
        <f t="shared" ca="1" si="82"/>
        <v/>
      </c>
      <c r="AC151" s="310" t="e">
        <f t="shared" ca="1" si="83"/>
        <v>#N/A</v>
      </c>
      <c r="AD151" s="323" t="e">
        <f t="shared" ca="1" si="84"/>
        <v>#N/A</v>
      </c>
      <c r="AE151" s="324">
        <f t="shared" ca="1" si="63"/>
        <v>152.13731268580099</v>
      </c>
      <c r="AG151" s="306">
        <f t="shared" ca="1" si="85"/>
        <v>106.67145288984314</v>
      </c>
      <c r="AH151" s="304">
        <f t="shared" ca="1" si="86"/>
        <v>116.29252371256169</v>
      </c>
    </row>
    <row r="152" spans="1:34" x14ac:dyDescent="0.2">
      <c r="A152" s="347">
        <f t="shared" ca="1" si="64"/>
        <v>0.01</v>
      </c>
      <c r="B152" s="304">
        <f t="shared" ca="1" si="65"/>
        <v>1.4800000000000011</v>
      </c>
      <c r="D152" s="306">
        <f t="shared" ca="1" si="66"/>
        <v>22.40218251149274</v>
      </c>
      <c r="E152" s="307">
        <f t="shared" ca="1" si="67"/>
        <v>102.62572800837587</v>
      </c>
      <c r="F152" s="304">
        <f t="shared" ca="1" si="68"/>
        <v>105.04236207610421</v>
      </c>
      <c r="G152" s="306">
        <f t="shared" ca="1" si="69"/>
        <v>40.345517477195251</v>
      </c>
      <c r="H152" s="307">
        <f t="shared" ca="1" si="70"/>
        <v>202.3945645917604</v>
      </c>
      <c r="I152" s="304">
        <f t="shared" ca="1" si="71"/>
        <v>206.37664731454223</v>
      </c>
      <c r="J152" s="306">
        <f t="shared" ca="1" si="72"/>
        <v>29.732754962449121</v>
      </c>
      <c r="K152" s="307">
        <f t="shared" ca="1" si="73"/>
        <v>154.15612704531819</v>
      </c>
      <c r="L152" s="304">
        <f t="shared" ca="1" si="58"/>
        <v>156.99728731181733</v>
      </c>
      <c r="M152" s="306">
        <f t="shared" ca="1" si="74"/>
        <v>1.374034583814723</v>
      </c>
      <c r="N152" s="304">
        <f t="shared" ca="1" si="75"/>
        <v>78.7263825575982</v>
      </c>
      <c r="P152" s="310">
        <f t="shared" ca="1" si="76"/>
        <v>14</v>
      </c>
      <c r="Q152" s="304">
        <f t="shared" ca="1" si="77"/>
        <v>1027.1849999999986</v>
      </c>
      <c r="R152" s="306">
        <f t="shared" ca="1" si="78"/>
        <v>0.50479131941367028</v>
      </c>
      <c r="S152" s="307">
        <f t="shared" ca="1" si="79"/>
        <v>7.5521160936774292</v>
      </c>
      <c r="T152" s="304">
        <f t="shared" ca="1" si="59"/>
        <v>74.086258878975585</v>
      </c>
      <c r="U152" s="311">
        <f t="shared" ca="1" si="60"/>
        <v>0</v>
      </c>
      <c r="V152" s="306">
        <f t="shared" ca="1" si="61"/>
        <v>1.2062603162900876</v>
      </c>
      <c r="W152" s="304">
        <f t="shared" ca="1" si="62"/>
        <v>162.98900026126034</v>
      </c>
      <c r="Y152" s="314" t="str">
        <f t="shared" ca="1" si="80"/>
        <v/>
      </c>
      <c r="Z152" s="315" t="str">
        <f t="shared" ca="1" si="81"/>
        <v/>
      </c>
      <c r="AA152" s="316" t="str">
        <f t="shared" ca="1" si="82"/>
        <v/>
      </c>
      <c r="AC152" s="310" t="e">
        <f t="shared" ca="1" si="83"/>
        <v>#N/A</v>
      </c>
      <c r="AD152" s="323" t="e">
        <f t="shared" ca="1" si="84"/>
        <v>#N/A</v>
      </c>
      <c r="AE152" s="324">
        <f t="shared" ca="1" si="63"/>
        <v>154.15612704531819</v>
      </c>
      <c r="AG152" s="306">
        <f t="shared" ca="1" si="85"/>
        <v>105.02486987930595</v>
      </c>
      <c r="AH152" s="304">
        <f t="shared" ca="1" si="86"/>
        <v>114.64576186694261</v>
      </c>
    </row>
    <row r="153" spans="1:34" x14ac:dyDescent="0.2">
      <c r="A153" s="347">
        <f t="shared" ca="1" si="64"/>
        <v>0.01</v>
      </c>
      <c r="B153" s="304">
        <f t="shared" ca="1" si="65"/>
        <v>1.4900000000000011</v>
      </c>
      <c r="D153" s="306">
        <f t="shared" ca="1" si="66"/>
        <v>22.09056820830315</v>
      </c>
      <c r="E153" s="307">
        <f t="shared" ca="1" si="67"/>
        <v>101.00803416281069</v>
      </c>
      <c r="F153" s="304">
        <f t="shared" ca="1" si="68"/>
        <v>103.39543592055321</v>
      </c>
      <c r="G153" s="306">
        <f t="shared" ca="1" si="69"/>
        <v>40.56642315927828</v>
      </c>
      <c r="H153" s="307">
        <f t="shared" ca="1" si="70"/>
        <v>203.40464493338851</v>
      </c>
      <c r="I153" s="304">
        <f t="shared" ca="1" si="71"/>
        <v>207.41042468597252</v>
      </c>
      <c r="J153" s="306">
        <f t="shared" ca="1" si="72"/>
        <v>30.137314665631489</v>
      </c>
      <c r="K153" s="307">
        <f t="shared" ca="1" si="73"/>
        <v>156.18512309294394</v>
      </c>
      <c r="L153" s="304">
        <f t="shared" ca="1" si="58"/>
        <v>159.06618248645228</v>
      </c>
      <c r="M153" s="306">
        <f t="shared" ca="1" si="74"/>
        <v>1.3739421197109445</v>
      </c>
      <c r="N153" s="304">
        <f t="shared" ca="1" si="75"/>
        <v>78.721084754695227</v>
      </c>
      <c r="P153" s="310">
        <f t="shared" ca="1" si="76"/>
        <v>14</v>
      </c>
      <c r="Q153" s="304">
        <f t="shared" ca="1" si="77"/>
        <v>1015.8016666666653</v>
      </c>
      <c r="R153" s="306">
        <f t="shared" ca="1" si="78"/>
        <v>0.49919718802287016</v>
      </c>
      <c r="S153" s="307">
        <f t="shared" ca="1" si="79"/>
        <v>7.5471241217972009</v>
      </c>
      <c r="T153" s="304">
        <f t="shared" ca="1" si="59"/>
        <v>74.037287634830548</v>
      </c>
      <c r="U153" s="311">
        <f t="shared" ca="1" si="60"/>
        <v>0</v>
      </c>
      <c r="V153" s="306">
        <f t="shared" ca="1" si="61"/>
        <v>1.2060155766460341</v>
      </c>
      <c r="W153" s="304">
        <f t="shared" ca="1" si="62"/>
        <v>164.59257063712272</v>
      </c>
      <c r="Y153" s="314" t="str">
        <f t="shared" ca="1" si="80"/>
        <v/>
      </c>
      <c r="Z153" s="315" t="str">
        <f t="shared" ca="1" si="81"/>
        <v/>
      </c>
      <c r="AA153" s="316" t="str">
        <f t="shared" ca="1" si="82"/>
        <v/>
      </c>
      <c r="AC153" s="310" t="e">
        <f t="shared" ca="1" si="83"/>
        <v>#N/A</v>
      </c>
      <c r="AD153" s="323" t="e">
        <f t="shared" ca="1" si="84"/>
        <v>#N/A</v>
      </c>
      <c r="AE153" s="324">
        <f t="shared" ca="1" si="63"/>
        <v>156.18512309294394</v>
      </c>
      <c r="AG153" s="306">
        <f t="shared" ca="1" si="85"/>
        <v>103.37764847911481</v>
      </c>
      <c r="AH153" s="304">
        <f t="shared" ca="1" si="86"/>
        <v>112.99836237519361</v>
      </c>
    </row>
    <row r="154" spans="1:34" x14ac:dyDescent="0.2">
      <c r="A154" s="347">
        <f t="shared" ca="1" si="64"/>
        <v>0.01</v>
      </c>
      <c r="B154" s="304">
        <f t="shared" ca="1" si="65"/>
        <v>1.5000000000000011</v>
      </c>
      <c r="D154" s="306">
        <f t="shared" ca="1" si="66"/>
        <v>21.778500285466684</v>
      </c>
      <c r="E154" s="307">
        <f t="shared" ca="1" si="67"/>
        <v>99.389869565869432</v>
      </c>
      <c r="F154" s="304">
        <f t="shared" ca="1" si="68"/>
        <v>101.74796925248489</v>
      </c>
      <c r="G154" s="306">
        <f t="shared" ca="1" si="69"/>
        <v>40.784208162132948</v>
      </c>
      <c r="H154" s="307">
        <f t="shared" ca="1" si="70"/>
        <v>204.3985436290472</v>
      </c>
      <c r="I154" s="304">
        <f t="shared" ca="1" si="71"/>
        <v>208.42772433888851</v>
      </c>
      <c r="J154" s="306">
        <f t="shared" ca="1" si="72"/>
        <v>30.544067822238546</v>
      </c>
      <c r="K154" s="307">
        <f t="shared" ca="1" si="73"/>
        <v>158.22413903575611</v>
      </c>
      <c r="L154" s="304">
        <f t="shared" ca="1" si="58"/>
        <v>161.14533270540537</v>
      </c>
      <c r="M154" s="306">
        <f t="shared" ca="1" si="74"/>
        <v>1.3738500642287936</v>
      </c>
      <c r="N154" s="304">
        <f t="shared" ca="1" si="75"/>
        <v>78.715810364086948</v>
      </c>
      <c r="P154" s="310">
        <f t="shared" ca="1" si="76"/>
        <v>14</v>
      </c>
      <c r="Q154" s="304">
        <f t="shared" ca="1" si="77"/>
        <v>1004.4183333333319</v>
      </c>
      <c r="R154" s="306">
        <f t="shared" ca="1" si="78"/>
        <v>0.49360305663207016</v>
      </c>
      <c r="S154" s="307">
        <f t="shared" ca="1" si="79"/>
        <v>7.5421880912308801</v>
      </c>
      <c r="T154" s="304">
        <f t="shared" ca="1" si="59"/>
        <v>73.988865174974933</v>
      </c>
      <c r="U154" s="311">
        <f t="shared" ca="1" si="60"/>
        <v>0</v>
      </c>
      <c r="V154" s="306">
        <f t="shared" ca="1" si="61"/>
        <v>1.2057696780250136</v>
      </c>
      <c r="W154" s="304">
        <f t="shared" ca="1" si="62"/>
        <v>166.1772170223845</v>
      </c>
      <c r="Y154" s="314" t="str">
        <f t="shared" ca="1" si="80"/>
        <v/>
      </c>
      <c r="Z154" s="315" t="str">
        <f t="shared" ca="1" si="81"/>
        <v/>
      </c>
      <c r="AA154" s="316" t="str">
        <f t="shared" ca="1" si="82"/>
        <v/>
      </c>
      <c r="AC154" s="310" t="e">
        <f t="shared" ca="1" si="83"/>
        <v>#N/A</v>
      </c>
      <c r="AD154" s="323" t="e">
        <f t="shared" ca="1" si="84"/>
        <v>#N/A</v>
      </c>
      <c r="AE154" s="324">
        <f t="shared" ca="1" si="63"/>
        <v>158.22413903575611</v>
      </c>
      <c r="AG154" s="306">
        <f t="shared" ca="1" si="85"/>
        <v>101.72987697856628</v>
      </c>
      <c r="AH154" s="304">
        <f t="shared" ca="1" si="86"/>
        <v>111.3504135056847</v>
      </c>
    </row>
    <row r="155" spans="1:34" x14ac:dyDescent="0.2">
      <c r="A155" s="347">
        <f t="shared" ca="1" si="64"/>
        <v>0.01</v>
      </c>
      <c r="B155" s="304">
        <f t="shared" ca="1" si="65"/>
        <v>1.5100000000000011</v>
      </c>
      <c r="D155" s="306">
        <f t="shared" ca="1" si="66"/>
        <v>21.465998965156658</v>
      </c>
      <c r="E155" s="307">
        <f t="shared" ca="1" si="67"/>
        <v>97.771319430750694</v>
      </c>
      <c r="F155" s="304">
        <f t="shared" ca="1" si="68"/>
        <v>100.10005002397349</v>
      </c>
      <c r="G155" s="306">
        <f t="shared" ca="1" si="69"/>
        <v>40.998868151784514</v>
      </c>
      <c r="H155" s="307">
        <f t="shared" ca="1" si="70"/>
        <v>205.37625682335471</v>
      </c>
      <c r="I155" s="304">
        <f t="shared" ca="1" si="71"/>
        <v>209.42854164726441</v>
      </c>
      <c r="J155" s="306">
        <f t="shared" ca="1" si="72"/>
        <v>30.952983203808135</v>
      </c>
      <c r="K155" s="307">
        <f t="shared" ca="1" si="73"/>
        <v>160.27301303801812</v>
      </c>
      <c r="L155" s="304">
        <f t="shared" ca="1" si="58"/>
        <v>163.23457316849257</v>
      </c>
      <c r="M155" s="306">
        <f t="shared" ca="1" si="74"/>
        <v>1.3737584063742512</v>
      </c>
      <c r="N155" s="304">
        <f t="shared" ca="1" si="75"/>
        <v>78.710558755862436</v>
      </c>
      <c r="P155" s="310">
        <f t="shared" ca="1" si="76"/>
        <v>14</v>
      </c>
      <c r="Q155" s="304">
        <f t="shared" ca="1" si="77"/>
        <v>993.03499999999849</v>
      </c>
      <c r="R155" s="306">
        <f t="shared" ca="1" si="78"/>
        <v>0.48800892524127004</v>
      </c>
      <c r="S155" s="307">
        <f t="shared" ca="1" si="79"/>
        <v>7.5373080019784675</v>
      </c>
      <c r="T155" s="304">
        <f t="shared" ca="1" si="59"/>
        <v>73.940991499408767</v>
      </c>
      <c r="U155" s="311">
        <f t="shared" ca="1" si="60"/>
        <v>0</v>
      </c>
      <c r="V155" s="306">
        <f t="shared" ca="1" si="61"/>
        <v>1.2055226406562451</v>
      </c>
      <c r="W155" s="304">
        <f t="shared" ca="1" si="62"/>
        <v>167.74255657615933</v>
      </c>
      <c r="Y155" s="314" t="str">
        <f t="shared" ca="1" si="80"/>
        <v/>
      </c>
      <c r="Z155" s="315" t="str">
        <f t="shared" ca="1" si="81"/>
        <v/>
      </c>
      <c r="AA155" s="316" t="str">
        <f t="shared" ca="1" si="82"/>
        <v/>
      </c>
      <c r="AC155" s="310" t="e">
        <f t="shared" ca="1" si="83"/>
        <v>#N/A</v>
      </c>
      <c r="AD155" s="323" t="e">
        <f t="shared" ca="1" si="84"/>
        <v>#N/A</v>
      </c>
      <c r="AE155" s="324">
        <f t="shared" ca="1" si="63"/>
        <v>160.27301303801812</v>
      </c>
      <c r="AG155" s="306">
        <f t="shared" ca="1" si="85"/>
        <v>100.08164286542977</v>
      </c>
      <c r="AH155" s="304">
        <f t="shared" ca="1" si="86"/>
        <v>109.70200272571748</v>
      </c>
    </row>
    <row r="156" spans="1:34" x14ac:dyDescent="0.2">
      <c r="A156" s="347">
        <f t="shared" ca="1" si="64"/>
        <v>0.01</v>
      </c>
      <c r="B156" s="304">
        <f t="shared" ca="1" si="65"/>
        <v>1.5200000000000011</v>
      </c>
      <c r="D156" s="306">
        <f t="shared" ca="1" si="66"/>
        <v>21.153084243355821</v>
      </c>
      <c r="E156" s="307">
        <f t="shared" ca="1" si="67"/>
        <v>96.152468185366516</v>
      </c>
      <c r="F156" s="304">
        <f t="shared" ca="1" si="68"/>
        <v>98.451765403899316</v>
      </c>
      <c r="G156" s="306">
        <f t="shared" ca="1" si="69"/>
        <v>41.210398994218075</v>
      </c>
      <c r="H156" s="307">
        <f t="shared" ca="1" si="70"/>
        <v>206.33778150520837</v>
      </c>
      <c r="I156" s="304">
        <f t="shared" ca="1" si="71"/>
        <v>210.41287285181426</v>
      </c>
      <c r="J156" s="306">
        <f t="shared" ca="1" si="72"/>
        <v>31.364029539538148</v>
      </c>
      <c r="K156" s="307">
        <f t="shared" ca="1" si="73"/>
        <v>162.33158322966094</v>
      </c>
      <c r="L156" s="304">
        <f t="shared" ca="1" si="58"/>
        <v>165.33373903352381</v>
      </c>
      <c r="M156" s="306">
        <f t="shared" ca="1" si="74"/>
        <v>1.3736671353969498</v>
      </c>
      <c r="N156" s="304">
        <f t="shared" ca="1" si="75"/>
        <v>78.705329314071037</v>
      </c>
      <c r="P156" s="310">
        <f t="shared" ca="1" si="76"/>
        <v>14</v>
      </c>
      <c r="Q156" s="304">
        <f t="shared" ca="1" si="77"/>
        <v>981.65166666666528</v>
      </c>
      <c r="R156" s="306">
        <f t="shared" ca="1" si="78"/>
        <v>0.48241479385047004</v>
      </c>
      <c r="S156" s="307">
        <f t="shared" ca="1" si="79"/>
        <v>7.5324838540399632</v>
      </c>
      <c r="T156" s="304">
        <f t="shared" ca="1" si="59"/>
        <v>73.893666608132037</v>
      </c>
      <c r="U156" s="311">
        <f t="shared" ca="1" si="60"/>
        <v>0</v>
      </c>
      <c r="V156" s="306">
        <f t="shared" ca="1" si="61"/>
        <v>1.2052744847603107</v>
      </c>
      <c r="W156" s="304">
        <f t="shared" ca="1" si="62"/>
        <v>169.28821447423829</v>
      </c>
      <c r="Y156" s="314" t="str">
        <f t="shared" ca="1" si="80"/>
        <v/>
      </c>
      <c r="Z156" s="315" t="str">
        <f t="shared" ca="1" si="81"/>
        <v/>
      </c>
      <c r="AA156" s="316" t="str">
        <f t="shared" ca="1" si="82"/>
        <v/>
      </c>
      <c r="AC156" s="310" t="e">
        <f t="shared" ca="1" si="83"/>
        <v>#N/A</v>
      </c>
      <c r="AD156" s="323" t="e">
        <f t="shared" ca="1" si="84"/>
        <v>#N/A</v>
      </c>
      <c r="AE156" s="324">
        <f t="shared" ca="1" si="63"/>
        <v>162.33158322966094</v>
      </c>
      <c r="AG156" s="306">
        <f t="shared" ca="1" si="85"/>
        <v>98.433032813908653</v>
      </c>
      <c r="AH156" s="304">
        <f t="shared" ca="1" si="86"/>
        <v>108.0532166894689</v>
      </c>
    </row>
    <row r="157" spans="1:34" x14ac:dyDescent="0.2">
      <c r="A157" s="347">
        <f t="shared" ca="1" si="64"/>
        <v>0.01</v>
      </c>
      <c r="B157" s="304">
        <f t="shared" ca="1" si="65"/>
        <v>1.5300000000000011</v>
      </c>
      <c r="D157" s="306">
        <f t="shared" ca="1" si="66"/>
        <v>20.839775889859894</v>
      </c>
      <c r="E157" s="307">
        <f t="shared" ca="1" si="67"/>
        <v>94.533399460478989</v>
      </c>
      <c r="F157" s="304">
        <f t="shared" ca="1" si="68"/>
        <v>96.803201768815867</v>
      </c>
      <c r="G157" s="306">
        <f t="shared" ca="1" si="69"/>
        <v>41.418796753116673</v>
      </c>
      <c r="H157" s="307">
        <f t="shared" ca="1" si="70"/>
        <v>207.28311549981316</v>
      </c>
      <c r="I157" s="304">
        <f t="shared" ca="1" si="71"/>
        <v>211.38071505173994</v>
      </c>
      <c r="J157" s="306">
        <f t="shared" ca="1" si="72"/>
        <v>31.77717551827482</v>
      </c>
      <c r="K157" s="307">
        <f t="shared" ca="1" si="73"/>
        <v>164.39968771468605</v>
      </c>
      <c r="L157" s="304">
        <f t="shared" ca="1" si="58"/>
        <v>167.44266542493148</v>
      </c>
      <c r="M157" s="306">
        <f t="shared" ca="1" si="74"/>
        <v>1.373576240781077</v>
      </c>
      <c r="N157" s="304">
        <f t="shared" ca="1" si="75"/>
        <v>78.700121436201059</v>
      </c>
      <c r="P157" s="310">
        <f t="shared" ca="1" si="76"/>
        <v>14</v>
      </c>
      <c r="Q157" s="304">
        <f t="shared" ca="1" si="77"/>
        <v>970.26833333333184</v>
      </c>
      <c r="R157" s="306">
        <f t="shared" ca="1" si="78"/>
        <v>0.47682066245966992</v>
      </c>
      <c r="S157" s="307">
        <f t="shared" ca="1" si="79"/>
        <v>7.5277156474153664</v>
      </c>
      <c r="T157" s="304">
        <f t="shared" ca="1" si="59"/>
        <v>73.846890501144742</v>
      </c>
      <c r="U157" s="311">
        <f t="shared" ca="1" si="60"/>
        <v>0</v>
      </c>
      <c r="V157" s="306">
        <f t="shared" ca="1" si="61"/>
        <v>1.2050252305479556</v>
      </c>
      <c r="W157" s="304">
        <f t="shared" ca="1" si="62"/>
        <v>170.81382392622243</v>
      </c>
      <c r="Y157" s="314" t="str">
        <f t="shared" ca="1" si="80"/>
        <v/>
      </c>
      <c r="Z157" s="315" t="str">
        <f t="shared" ca="1" si="81"/>
        <v/>
      </c>
      <c r="AA157" s="316" t="str">
        <f t="shared" ca="1" si="82"/>
        <v/>
      </c>
      <c r="AC157" s="310" t="e">
        <f t="shared" ca="1" si="83"/>
        <v>#N/A</v>
      </c>
      <c r="AD157" s="323" t="e">
        <f t="shared" ca="1" si="84"/>
        <v>#N/A</v>
      </c>
      <c r="AE157" s="324">
        <f t="shared" ca="1" si="63"/>
        <v>164.39968771468605</v>
      </c>
      <c r="AG157" s="306">
        <f t="shared" ca="1" si="85"/>
        <v>96.784132672976412</v>
      </c>
      <c r="AH157" s="304">
        <f t="shared" ca="1" si="86"/>
        <v>106.4041412263107</v>
      </c>
    </row>
    <row r="158" spans="1:34" x14ac:dyDescent="0.2">
      <c r="A158" s="347">
        <f t="shared" ca="1" si="64"/>
        <v>0.01</v>
      </c>
      <c r="B158" s="304">
        <f t="shared" ca="1" si="65"/>
        <v>1.5400000000000011</v>
      </c>
      <c r="D158" s="306">
        <f t="shared" ca="1" si="66"/>
        <v>20.526093448239543</v>
      </c>
      <c r="E158" s="307">
        <f t="shared" ca="1" si="67"/>
        <v>92.914196078227135</v>
      </c>
      <c r="F158" s="304">
        <f t="shared" ca="1" si="68"/>
        <v>95.154444694449765</v>
      </c>
      <c r="G158" s="306">
        <f t="shared" ca="1" si="69"/>
        <v>41.62405768759907</v>
      </c>
      <c r="H158" s="307">
        <f t="shared" ca="1" si="70"/>
        <v>208.21225746059542</v>
      </c>
      <c r="I158" s="304">
        <f t="shared" ca="1" si="71"/>
        <v>212.33206619636576</v>
      </c>
      <c r="J158" s="306">
        <f t="shared" ca="1" si="72"/>
        <v>32.192389790478401</v>
      </c>
      <c r="K158" s="307">
        <f t="shared" ca="1" si="73"/>
        <v>166.47716457948809</v>
      </c>
      <c r="L158" s="304">
        <f t="shared" ca="1" si="58"/>
        <v>169.56118744231554</v>
      </c>
      <c r="M158" s="306">
        <f t="shared" ca="1" si="74"/>
        <v>1.3734857122366506</v>
      </c>
      <c r="N158" s="304">
        <f t="shared" ca="1" si="75"/>
        <v>78.694934532679966</v>
      </c>
      <c r="P158" s="310">
        <f t="shared" ca="1" si="76"/>
        <v>14</v>
      </c>
      <c r="Q158" s="304">
        <f t="shared" ca="1" si="77"/>
        <v>958.88499999999851</v>
      </c>
      <c r="R158" s="306">
        <f t="shared" ca="1" si="78"/>
        <v>0.47122653106886986</v>
      </c>
      <c r="S158" s="307">
        <f t="shared" ca="1" si="79"/>
        <v>7.5230033821046778</v>
      </c>
      <c r="T158" s="304">
        <f t="shared" ca="1" si="59"/>
        <v>73.800663178446896</v>
      </c>
      <c r="U158" s="311">
        <f t="shared" ca="1" si="60"/>
        <v>0</v>
      </c>
      <c r="V158" s="306">
        <f t="shared" ca="1" si="61"/>
        <v>1.204774898218905</v>
      </c>
      <c r="W158" s="304">
        <f t="shared" ca="1" si="62"/>
        <v>172.31902619020721</v>
      </c>
      <c r="Y158" s="314" t="str">
        <f t="shared" ca="1" si="80"/>
        <v/>
      </c>
      <c r="Z158" s="315" t="str">
        <f t="shared" ca="1" si="81"/>
        <v/>
      </c>
      <c r="AA158" s="316" t="str">
        <f t="shared" ca="1" si="82"/>
        <v/>
      </c>
      <c r="AC158" s="310" t="e">
        <f t="shared" ca="1" si="83"/>
        <v>#N/A</v>
      </c>
      <c r="AD158" s="323" t="e">
        <f t="shared" ca="1" si="84"/>
        <v>#N/A</v>
      </c>
      <c r="AE158" s="324">
        <f t="shared" ca="1" si="63"/>
        <v>166.47716457948809</v>
      </c>
      <c r="AG158" s="306">
        <f t="shared" ca="1" si="85"/>
        <v>95.135027455088689</v>
      </c>
      <c r="AH158" s="304">
        <f t="shared" ca="1" si="86"/>
        <v>104.75486132950546</v>
      </c>
    </row>
    <row r="159" spans="1:34" x14ac:dyDescent="0.2">
      <c r="A159" s="347">
        <f t="shared" ca="1" si="64"/>
        <v>0.01</v>
      </c>
      <c r="B159" s="304">
        <f t="shared" ca="1" si="65"/>
        <v>1.5500000000000012</v>
      </c>
      <c r="D159" s="306">
        <f t="shared" ca="1" si="66"/>
        <v>20.212056235767019</v>
      </c>
      <c r="E159" s="307">
        <f t="shared" ca="1" si="67"/>
        <v>91.2949400410415</v>
      </c>
      <c r="F159" s="304">
        <f t="shared" ca="1" si="68"/>
        <v>93.505578947863697</v>
      </c>
      <c r="G159" s="306">
        <f t="shared" ca="1" si="69"/>
        <v>41.82617824995674</v>
      </c>
      <c r="H159" s="307">
        <f t="shared" ca="1" si="70"/>
        <v>209.12520686100584</v>
      </c>
      <c r="I159" s="304">
        <f t="shared" ca="1" si="71"/>
        <v>213.26692507666453</v>
      </c>
      <c r="J159" s="306">
        <f t="shared" ca="1" si="72"/>
        <v>32.609640970166183</v>
      </c>
      <c r="K159" s="307">
        <f t="shared" ca="1" si="73"/>
        <v>168.56385190109609</v>
      </c>
      <c r="L159" s="304">
        <f t="shared" ca="1" si="58"/>
        <v>171.68914016890469</v>
      </c>
      <c r="M159" s="306">
        <f t="shared" ca="1" si="74"/>
        <v>1.3733955396911539</v>
      </c>
      <c r="N159" s="304">
        <f t="shared" ca="1" si="75"/>
        <v>78.689768026395058</v>
      </c>
      <c r="P159" s="310">
        <f t="shared" ca="1" si="76"/>
        <v>14</v>
      </c>
      <c r="Q159" s="304">
        <f t="shared" ca="1" si="77"/>
        <v>947.50166666666519</v>
      </c>
      <c r="R159" s="306">
        <f t="shared" ca="1" si="78"/>
        <v>0.46563239967806985</v>
      </c>
      <c r="S159" s="307">
        <f t="shared" ca="1" si="79"/>
        <v>7.5183470581078975</v>
      </c>
      <c r="T159" s="304">
        <f t="shared" ca="1" si="59"/>
        <v>73.754984640038472</v>
      </c>
      <c r="U159" s="311">
        <f t="shared" ca="1" si="60"/>
        <v>0</v>
      </c>
      <c r="V159" s="306">
        <f t="shared" ca="1" si="61"/>
        <v>1.204523507960694</v>
      </c>
      <c r="W159" s="304">
        <f t="shared" ca="1" si="62"/>
        <v>173.80347058504807</v>
      </c>
      <c r="Y159" s="314" t="str">
        <f t="shared" ca="1" si="80"/>
        <v/>
      </c>
      <c r="Z159" s="315" t="str">
        <f t="shared" ca="1" si="81"/>
        <v/>
      </c>
      <c r="AA159" s="316" t="str">
        <f t="shared" ca="1" si="82"/>
        <v/>
      </c>
      <c r="AC159" s="310" t="e">
        <f t="shared" ca="1" si="83"/>
        <v>#N/A</v>
      </c>
      <c r="AD159" s="323" t="e">
        <f t="shared" ca="1" si="84"/>
        <v>#N/A</v>
      </c>
      <c r="AE159" s="324">
        <f t="shared" ca="1" si="63"/>
        <v>168.56385190109609</v>
      </c>
      <c r="AG159" s="306">
        <f t="shared" ca="1" si="85"/>
        <v>93.485801325269961</v>
      </c>
      <c r="AH159" s="304">
        <f t="shared" ca="1" si="86"/>
        <v>103.10546114527787</v>
      </c>
    </row>
    <row r="160" spans="1:34" x14ac:dyDescent="0.2">
      <c r="A160" s="347">
        <f t="shared" ca="1" si="64"/>
        <v>0.01</v>
      </c>
      <c r="B160" s="304">
        <f t="shared" ca="1" si="65"/>
        <v>1.5600000000000012</v>
      </c>
      <c r="D160" s="306">
        <f t="shared" ca="1" si="66"/>
        <v>19.482925695476997</v>
      </c>
      <c r="E160" s="307">
        <f t="shared" ca="1" si="67"/>
        <v>87.601980649426125</v>
      </c>
      <c r="F160" s="304">
        <f t="shared" ca="1" si="68"/>
        <v>89.742361275809472</v>
      </c>
      <c r="G160" s="306">
        <f t="shared" ca="1" si="69"/>
        <v>42.021007506911509</v>
      </c>
      <c r="H160" s="307">
        <f t="shared" ca="1" si="70"/>
        <v>210.00122666750011</v>
      </c>
      <c r="I160" s="304">
        <f t="shared" ca="1" si="71"/>
        <v>214.16414329609583</v>
      </c>
      <c r="J160" s="306">
        <f t="shared" ca="1" si="72"/>
        <v>33.028876898950521</v>
      </c>
      <c r="K160" s="307">
        <f t="shared" ca="1" si="73"/>
        <v>170.65948406873861</v>
      </c>
      <c r="L160" s="304">
        <f t="shared" ca="1" si="58"/>
        <v>173.82625294187895</v>
      </c>
      <c r="M160" s="306">
        <f t="shared" ca="1" si="74"/>
        <v>1.3733057044114378</v>
      </c>
      <c r="N160" s="304">
        <f t="shared" ca="1" si="75"/>
        <v>78.684620844015953</v>
      </c>
      <c r="P160" s="310">
        <f t="shared" ca="1" si="76"/>
        <v>15</v>
      </c>
      <c r="Q160" s="304">
        <f t="shared" ca="1" si="77"/>
        <v>920.23599999999465</v>
      </c>
      <c r="R160" s="306">
        <f t="shared" ca="1" si="78"/>
        <v>0.45223318546508778</v>
      </c>
      <c r="S160" s="307">
        <f t="shared" ca="1" si="79"/>
        <v>7.5138247262532465</v>
      </c>
      <c r="T160" s="304">
        <f t="shared" ca="1" si="59"/>
        <v>73.710620564544357</v>
      </c>
      <c r="U160" s="311">
        <f t="shared" ca="1" si="60"/>
        <v>0</v>
      </c>
      <c r="V160" s="306">
        <f t="shared" ca="1" si="61"/>
        <v>1.2042710924350963</v>
      </c>
      <c r="W160" s="304">
        <f t="shared" ca="1" si="62"/>
        <v>175.23220737481094</v>
      </c>
      <c r="Y160" s="314" t="str">
        <f t="shared" ca="1" si="80"/>
        <v/>
      </c>
      <c r="Z160" s="315" t="str">
        <f t="shared" ca="1" si="81"/>
        <v/>
      </c>
      <c r="AA160" s="316" t="str">
        <f t="shared" ca="1" si="82"/>
        <v/>
      </c>
      <c r="AC160" s="310" t="e">
        <f t="shared" ca="1" si="83"/>
        <v>#N/A</v>
      </c>
      <c r="AD160" s="323" t="e">
        <f t="shared" ca="1" si="84"/>
        <v>#N/A</v>
      </c>
      <c r="AE160" s="324">
        <f t="shared" ca="1" si="63"/>
        <v>170.65948406873861</v>
      </c>
      <c r="AG160" s="306">
        <f t="shared" ca="1" si="85"/>
        <v>89.721735523857149</v>
      </c>
      <c r="AH160" s="304">
        <f t="shared" ca="1" si="86"/>
        <v>99.341221895543683</v>
      </c>
    </row>
    <row r="161" spans="1:34" x14ac:dyDescent="0.2">
      <c r="A161" s="347">
        <f t="shared" ca="1" si="64"/>
        <v>0.01</v>
      </c>
      <c r="B161" s="304">
        <f t="shared" ca="1" si="65"/>
        <v>1.5700000000000012</v>
      </c>
      <c r="D161" s="306">
        <f t="shared" ca="1" si="66"/>
        <v>18.338158948803407</v>
      </c>
      <c r="E161" s="307">
        <f t="shared" ca="1" si="67"/>
        <v>81.83549120910304</v>
      </c>
      <c r="F161" s="304">
        <f t="shared" ca="1" si="68"/>
        <v>83.864984916631087</v>
      </c>
      <c r="G161" s="306">
        <f t="shared" ca="1" si="69"/>
        <v>42.204389096399545</v>
      </c>
      <c r="H161" s="307">
        <f t="shared" ca="1" si="70"/>
        <v>210.81958157959113</v>
      </c>
      <c r="I161" s="304">
        <f t="shared" ca="1" si="71"/>
        <v>215.00257309249619</v>
      </c>
      <c r="J161" s="306">
        <f t="shared" ca="1" si="72"/>
        <v>33.450003881967078</v>
      </c>
      <c r="K161" s="307">
        <f t="shared" ca="1" si="73"/>
        <v>172.76358810997405</v>
      </c>
      <c r="L161" s="304">
        <f t="shared" ca="1" si="58"/>
        <v>175.97204362152635</v>
      </c>
      <c r="M161" s="306">
        <f t="shared" ca="1" si="74"/>
        <v>1.3732161792627104</v>
      </c>
      <c r="N161" s="304">
        <f t="shared" ca="1" si="75"/>
        <v>78.679491430833593</v>
      </c>
      <c r="P161" s="310">
        <f t="shared" ca="1" si="76"/>
        <v>15</v>
      </c>
      <c r="Q161" s="304">
        <f t="shared" ca="1" si="77"/>
        <v>877.08799999999474</v>
      </c>
      <c r="R161" s="306">
        <f t="shared" ca="1" si="78"/>
        <v>0.43102888842992759</v>
      </c>
      <c r="S161" s="307">
        <f t="shared" ca="1" si="79"/>
        <v>7.5095144373689475</v>
      </c>
      <c r="T161" s="304">
        <f t="shared" ca="1" si="59"/>
        <v>73.66833663058938</v>
      </c>
      <c r="U161" s="311">
        <f t="shared" ca="1" si="60"/>
        <v>0</v>
      </c>
      <c r="V161" s="306">
        <f t="shared" ca="1" si="61"/>
        <v>1.204017709248379</v>
      </c>
      <c r="W161" s="304">
        <f t="shared" ca="1" si="62"/>
        <v>176.56976512107599</v>
      </c>
      <c r="Y161" s="314" t="str">
        <f t="shared" ca="1" si="80"/>
        <v/>
      </c>
      <c r="Z161" s="315" t="str">
        <f t="shared" ca="1" si="81"/>
        <v/>
      </c>
      <c r="AA161" s="316" t="str">
        <f t="shared" ca="1" si="82"/>
        <v/>
      </c>
      <c r="AC161" s="310" t="e">
        <f t="shared" ca="1" si="83"/>
        <v>#N/A</v>
      </c>
      <c r="AD161" s="323" t="e">
        <f t="shared" ca="1" si="84"/>
        <v>#N/A</v>
      </c>
      <c r="AE161" s="324">
        <f t="shared" ca="1" si="63"/>
        <v>172.76358810997405</v>
      </c>
      <c r="AG161" s="306">
        <f t="shared" ca="1" si="85"/>
        <v>83.842893480418581</v>
      </c>
      <c r="AH161" s="304">
        <f t="shared" ca="1" si="86"/>
        <v>93.462206974741193</v>
      </c>
    </row>
    <row r="162" spans="1:34" x14ac:dyDescent="0.2">
      <c r="A162" s="347">
        <f t="shared" ca="1" si="64"/>
        <v>0.01</v>
      </c>
      <c r="B162" s="304">
        <f t="shared" ca="1" si="65"/>
        <v>1.5800000000000012</v>
      </c>
      <c r="D162" s="306">
        <f t="shared" ca="1" si="66"/>
        <v>17.192903150255233</v>
      </c>
      <c r="E162" s="307">
        <f t="shared" ca="1" si="67"/>
        <v>76.072078283285848</v>
      </c>
      <c r="F162" s="304">
        <f t="shared" ca="1" si="68"/>
        <v>77.990749535264925</v>
      </c>
      <c r="G162" s="306">
        <f t="shared" ca="1" si="69"/>
        <v>42.376318127902096</v>
      </c>
      <c r="H162" s="307">
        <f t="shared" ca="1" si="70"/>
        <v>211.58030236242399</v>
      </c>
      <c r="I162" s="304">
        <f t="shared" ca="1" si="71"/>
        <v>215.78224367600762</v>
      </c>
      <c r="J162" s="306">
        <f t="shared" ca="1" si="72"/>
        <v>33.872907418088587</v>
      </c>
      <c r="K162" s="307">
        <f t="shared" ca="1" si="73"/>
        <v>174.87558752968414</v>
      </c>
      <c r="L162" s="304">
        <f t="shared" ca="1" si="58"/>
        <v>178.12592447705813</v>
      </c>
      <c r="M162" s="306">
        <f t="shared" ca="1" si="74"/>
        <v>1.3731269376799362</v>
      </c>
      <c r="N162" s="304">
        <f t="shared" ca="1" si="75"/>
        <v>78.674378264783556</v>
      </c>
      <c r="P162" s="310">
        <f t="shared" ca="1" si="76"/>
        <v>15</v>
      </c>
      <c r="Q162" s="304">
        <f t="shared" ca="1" si="77"/>
        <v>833.93999999999471</v>
      </c>
      <c r="R162" s="306">
        <f t="shared" ca="1" si="78"/>
        <v>0.40982459139476735</v>
      </c>
      <c r="S162" s="307">
        <f t="shared" ca="1" si="79"/>
        <v>7.5054161914549997</v>
      </c>
      <c r="T162" s="304">
        <f t="shared" ca="1" si="59"/>
        <v>73.628132838173556</v>
      </c>
      <c r="U162" s="311">
        <f t="shared" ca="1" si="60"/>
        <v>0</v>
      </c>
      <c r="V162" s="306">
        <f t="shared" ca="1" si="61"/>
        <v>1.2037634284241856</v>
      </c>
      <c r="W162" s="304">
        <f t="shared" ca="1" si="62"/>
        <v>177.81512668466672</v>
      </c>
      <c r="Y162" s="314" t="str">
        <f t="shared" ca="1" si="80"/>
        <v/>
      </c>
      <c r="Z162" s="315" t="str">
        <f t="shared" ca="1" si="81"/>
        <v/>
      </c>
      <c r="AA162" s="316" t="str">
        <f t="shared" ca="1" si="82"/>
        <v/>
      </c>
      <c r="AC162" s="310" t="e">
        <f t="shared" ca="1" si="83"/>
        <v>#N/A</v>
      </c>
      <c r="AD162" s="323" t="e">
        <f t="shared" ca="1" si="84"/>
        <v>#N/A</v>
      </c>
      <c r="AE162" s="324">
        <f t="shared" ca="1" si="63"/>
        <v>174.87558752968414</v>
      </c>
      <c r="AG162" s="306">
        <f t="shared" ca="1" si="85"/>
        <v>77.966972426002826</v>
      </c>
      <c r="AH162" s="304">
        <f t="shared" ca="1" si="86"/>
        <v>87.586113562541954</v>
      </c>
    </row>
    <row r="163" spans="1:34" x14ac:dyDescent="0.2">
      <c r="A163" s="347">
        <f t="shared" ca="1" si="64"/>
        <v>0.01</v>
      </c>
      <c r="B163" s="304">
        <f t="shared" ca="1" si="65"/>
        <v>1.5900000000000012</v>
      </c>
      <c r="D163" s="306">
        <f t="shared" ca="1" si="66"/>
        <v>16.04729201277528</v>
      </c>
      <c r="E163" s="307">
        <f t="shared" ca="1" si="67"/>
        <v>70.312366599035059</v>
      </c>
      <c r="F163" s="304">
        <f t="shared" ca="1" si="68"/>
        <v>72.12034718233393</v>
      </c>
      <c r="G163" s="306">
        <f t="shared" ca="1" si="69"/>
        <v>42.536791048029848</v>
      </c>
      <c r="H163" s="307">
        <f t="shared" ca="1" si="70"/>
        <v>212.28342602841434</v>
      </c>
      <c r="I163" s="304">
        <f t="shared" ca="1" si="71"/>
        <v>216.5031906439834</v>
      </c>
      <c r="J163" s="306">
        <f t="shared" ca="1" si="72"/>
        <v>34.297472963968247</v>
      </c>
      <c r="K163" s="307">
        <f t="shared" ca="1" si="73"/>
        <v>176.99490617163832</v>
      </c>
      <c r="L163" s="304">
        <f t="shared" ca="1" si="58"/>
        <v>180.28730810132251</v>
      </c>
      <c r="M163" s="306">
        <f t="shared" ca="1" si="74"/>
        <v>1.3730379536187778</v>
      </c>
      <c r="N163" s="304">
        <f t="shared" ca="1" si="75"/>
        <v>78.669279853635246</v>
      </c>
      <c r="P163" s="310">
        <f t="shared" ca="1" si="76"/>
        <v>15</v>
      </c>
      <c r="Q163" s="304">
        <f t="shared" ca="1" si="77"/>
        <v>790.7919999999948</v>
      </c>
      <c r="R163" s="306">
        <f t="shared" ca="1" si="78"/>
        <v>0.3886202943596071</v>
      </c>
      <c r="S163" s="307">
        <f t="shared" ca="1" si="79"/>
        <v>7.501529988511404</v>
      </c>
      <c r="T163" s="304">
        <f t="shared" ca="1" si="59"/>
        <v>73.590009187296872</v>
      </c>
      <c r="U163" s="311">
        <f t="shared" ca="1" si="60"/>
        <v>0</v>
      </c>
      <c r="V163" s="306">
        <f t="shared" ca="1" si="61"/>
        <v>1.2035083198892083</v>
      </c>
      <c r="W163" s="304">
        <f t="shared" ca="1" si="62"/>
        <v>178.96736691869987</v>
      </c>
      <c r="Y163" s="314" t="str">
        <f t="shared" ca="1" si="80"/>
        <v/>
      </c>
      <c r="Z163" s="315" t="str">
        <f t="shared" ca="1" si="81"/>
        <v/>
      </c>
      <c r="AA163" s="316" t="str">
        <f t="shared" ca="1" si="82"/>
        <v/>
      </c>
      <c r="AC163" s="310" t="e">
        <f t="shared" ca="1" si="83"/>
        <v>#N/A</v>
      </c>
      <c r="AD163" s="323" t="e">
        <f t="shared" ca="1" si="84"/>
        <v>#N/A</v>
      </c>
      <c r="AE163" s="324">
        <f t="shared" ca="1" si="63"/>
        <v>176.99490617163832</v>
      </c>
      <c r="AG163" s="306">
        <f t="shared" ca="1" si="85"/>
        <v>72.094611082199393</v>
      </c>
      <c r="AH163" s="304">
        <f t="shared" ca="1" si="86"/>
        <v>81.71358033015963</v>
      </c>
    </row>
    <row r="164" spans="1:34" x14ac:dyDescent="0.2">
      <c r="A164" s="347">
        <f t="shared" ca="1" si="64"/>
        <v>0.01</v>
      </c>
      <c r="B164" s="304">
        <f t="shared" ca="1" si="65"/>
        <v>1.6000000000000012</v>
      </c>
      <c r="D164" s="306">
        <f t="shared" ca="1" si="66"/>
        <v>14.901456554003239</v>
      </c>
      <c r="E164" s="307">
        <f t="shared" ca="1" si="67"/>
        <v>64.556969678684553</v>
      </c>
      <c r="F164" s="304">
        <f t="shared" ca="1" si="68"/>
        <v>66.254477143250043</v>
      </c>
      <c r="G164" s="306">
        <f t="shared" ca="1" si="69"/>
        <v>42.685805613569883</v>
      </c>
      <c r="H164" s="307">
        <f t="shared" ca="1" si="70"/>
        <v>212.92899572520119</v>
      </c>
      <c r="I164" s="304">
        <f t="shared" ca="1" si="71"/>
        <v>217.16545586584951</v>
      </c>
      <c r="J164" s="306">
        <f t="shared" ca="1" si="72"/>
        <v>34.723585947276248</v>
      </c>
      <c r="K164" s="307">
        <f t="shared" ca="1" si="73"/>
        <v>179.1209682804064</v>
      </c>
      <c r="L164" s="304">
        <f t="shared" ca="1" si="58"/>
        <v>182.45560747411474</v>
      </c>
      <c r="M164" s="306">
        <f t="shared" ca="1" si="74"/>
        <v>1.3729492015087634</v>
      </c>
      <c r="N164" s="304">
        <f t="shared" ca="1" si="75"/>
        <v>78.664194732308545</v>
      </c>
      <c r="P164" s="310">
        <f t="shared" ca="1" si="76"/>
        <v>15</v>
      </c>
      <c r="Q164" s="304">
        <f t="shared" ca="1" si="77"/>
        <v>747.64399999999478</v>
      </c>
      <c r="R164" s="306">
        <f t="shared" ca="1" si="78"/>
        <v>0.36741599732444685</v>
      </c>
      <c r="S164" s="307">
        <f t="shared" ca="1" si="79"/>
        <v>7.4978558285381594</v>
      </c>
      <c r="T164" s="304">
        <f t="shared" ca="1" si="59"/>
        <v>73.55396567795934</v>
      </c>
      <c r="U164" s="311">
        <f t="shared" ca="1" si="60"/>
        <v>0</v>
      </c>
      <c r="V164" s="306">
        <f t="shared" ca="1" si="61"/>
        <v>1.2032524534653011</v>
      </c>
      <c r="W164" s="304">
        <f t="shared" ca="1" si="62"/>
        <v>180.02565236467973</v>
      </c>
      <c r="Y164" s="314" t="str">
        <f t="shared" ca="1" si="80"/>
        <v/>
      </c>
      <c r="Z164" s="315" t="str">
        <f t="shared" ca="1" si="81"/>
        <v/>
      </c>
      <c r="AA164" s="316" t="str">
        <f t="shared" ca="1" si="82"/>
        <v/>
      </c>
      <c r="AC164" s="310" t="e">
        <f t="shared" ca="1" si="83"/>
        <v>#N/A</v>
      </c>
      <c r="AD164" s="323" t="e">
        <f t="shared" ca="1" si="84"/>
        <v>#N/A</v>
      </c>
      <c r="AE164" s="324">
        <f t="shared" ca="1" si="63"/>
        <v>179.1209682804064</v>
      </c>
      <c r="AG164" s="306">
        <f t="shared" ca="1" si="85"/>
        <v>66.226436656678487</v>
      </c>
      <c r="AH164" s="304">
        <f t="shared" ca="1" si="86"/>
        <v>75.845234435798503</v>
      </c>
    </row>
    <row r="165" spans="1:34" x14ac:dyDescent="0.2">
      <c r="A165" s="347">
        <f t="shared" ca="1" si="64"/>
        <v>0.01</v>
      </c>
      <c r="B165" s="304">
        <f t="shared" ca="1" si="65"/>
        <v>1.6100000000000012</v>
      </c>
      <c r="D165" s="306">
        <f t="shared" ca="1" si="66"/>
        <v>13.22684075406117</v>
      </c>
      <c r="E165" s="307">
        <f t="shared" ca="1" si="67"/>
        <v>56.16926120630778</v>
      </c>
      <c r="F165" s="304">
        <f t="shared" ca="1" si="68"/>
        <v>57.705590897206193</v>
      </c>
      <c r="G165" s="306">
        <f t="shared" ca="1" si="69"/>
        <v>42.818074021110498</v>
      </c>
      <c r="H165" s="307">
        <f t="shared" ca="1" si="70"/>
        <v>213.49068833726426</v>
      </c>
      <c r="I165" s="304">
        <f t="shared" ca="1" si="71"/>
        <v>217.74219037567386</v>
      </c>
      <c r="J165" s="306">
        <f t="shared" ca="1" si="72"/>
        <v>35.15110534544965</v>
      </c>
      <c r="K165" s="307">
        <f t="shared" ca="1" si="73"/>
        <v>181.25306670071873</v>
      </c>
      <c r="L165" s="304">
        <f t="shared" ca="1" si="58"/>
        <v>184.63010154203482</v>
      </c>
      <c r="M165" s="306">
        <f t="shared" ca="1" si="74"/>
        <v>1.3728606452707326</v>
      </c>
      <c r="N165" s="304">
        <f t="shared" ca="1" si="75"/>
        <v>78.659120833619824</v>
      </c>
      <c r="P165" s="310">
        <f t="shared" ca="1" si="76"/>
        <v>16</v>
      </c>
      <c r="Q165" s="304">
        <f t="shared" ca="1" si="77"/>
        <v>684.3449999999898</v>
      </c>
      <c r="R165" s="306">
        <f t="shared" ca="1" si="78"/>
        <v>0.33630885914819969</v>
      </c>
      <c r="S165" s="307">
        <f t="shared" ca="1" si="79"/>
        <v>7.4944927399466774</v>
      </c>
      <c r="T165" s="304">
        <f t="shared" ca="1" si="59"/>
        <v>73.520973778876908</v>
      </c>
      <c r="U165" s="311">
        <f t="shared" ca="1" si="60"/>
        <v>0</v>
      </c>
      <c r="V165" s="306">
        <f t="shared" ca="1" si="61"/>
        <v>1.2029959147259552</v>
      </c>
      <c r="W165" s="304">
        <f t="shared" ca="1" si="62"/>
        <v>180.94453753336225</v>
      </c>
      <c r="Y165" s="314" t="str">
        <f t="shared" ca="1" si="80"/>
        <v/>
      </c>
      <c r="Z165" s="315" t="str">
        <f t="shared" ca="1" si="81"/>
        <v/>
      </c>
      <c r="AA165" s="316" t="str">
        <f t="shared" ca="1" si="82"/>
        <v/>
      </c>
      <c r="AC165" s="310" t="e">
        <f t="shared" ca="1" si="83"/>
        <v>#N/A</v>
      </c>
      <c r="AD165" s="323" t="e">
        <f t="shared" ca="1" si="84"/>
        <v>#N/A</v>
      </c>
      <c r="AE165" s="324">
        <f t="shared" ca="1" si="63"/>
        <v>181.25306670071873</v>
      </c>
      <c r="AG165" s="306">
        <f t="shared" ca="1" si="85"/>
        <v>57.673365603468866</v>
      </c>
      <c r="AH165" s="304">
        <f t="shared" ca="1" si="86"/>
        <v>67.291992284843857</v>
      </c>
    </row>
    <row r="166" spans="1:34" x14ac:dyDescent="0.2">
      <c r="A166" s="347">
        <f t="shared" ca="1" si="64"/>
        <v>0.01</v>
      </c>
      <c r="B166" s="304">
        <f t="shared" ca="1" si="65"/>
        <v>1.6200000000000012</v>
      </c>
      <c r="D166" s="306">
        <f t="shared" ca="1" si="66"/>
        <v>11.023297204418048</v>
      </c>
      <c r="E166" s="307">
        <f t="shared" ca="1" si="67"/>
        <v>45.15210097533047</v>
      </c>
      <c r="F166" s="304">
        <f t="shared" ca="1" si="68"/>
        <v>46.478223973634897</v>
      </c>
      <c r="G166" s="306">
        <f t="shared" ca="1" si="69"/>
        <v>42.928306993154678</v>
      </c>
      <c r="H166" s="307">
        <f t="shared" ca="1" si="70"/>
        <v>213.94220934701755</v>
      </c>
      <c r="I166" s="304">
        <f t="shared" ca="1" si="71"/>
        <v>218.20657295686951</v>
      </c>
      <c r="J166" s="306">
        <f t="shared" ca="1" si="72"/>
        <v>35.579837250520974</v>
      </c>
      <c r="K166" s="307">
        <f t="shared" ca="1" si="73"/>
        <v>183.39023118914014</v>
      </c>
      <c r="L166" s="304">
        <f t="shared" ca="1" si="58"/>
        <v>186.80980090557301</v>
      </c>
      <c r="M166" s="306">
        <f t="shared" ca="1" si="74"/>
        <v>1.37277223846063</v>
      </c>
      <c r="N166" s="304">
        <f t="shared" ca="1" si="75"/>
        <v>78.654055496520726</v>
      </c>
      <c r="P166" s="310">
        <f t="shared" ca="1" si="76"/>
        <v>16</v>
      </c>
      <c r="Q166" s="304">
        <f t="shared" ca="1" si="77"/>
        <v>600.89499999998975</v>
      </c>
      <c r="R166" s="306">
        <f t="shared" ca="1" si="78"/>
        <v>0.29529887983087039</v>
      </c>
      <c r="S166" s="307">
        <f t="shared" ca="1" si="79"/>
        <v>7.4915397511483688</v>
      </c>
      <c r="T166" s="304">
        <f t="shared" ca="1" si="59"/>
        <v>73.492004958765506</v>
      </c>
      <c r="U166" s="311">
        <f t="shared" ca="1" si="60"/>
        <v>0</v>
      </c>
      <c r="V166" s="306">
        <f t="shared" ca="1" si="61"/>
        <v>1.2027388208191563</v>
      </c>
      <c r="W166" s="304">
        <f t="shared" ca="1" si="62"/>
        <v>181.67833269715962</v>
      </c>
      <c r="Y166" s="314" t="str">
        <f t="shared" ca="1" si="80"/>
        <v/>
      </c>
      <c r="Z166" s="315" t="str">
        <f t="shared" ca="1" si="81"/>
        <v/>
      </c>
      <c r="AA166" s="316" t="str">
        <f t="shared" ca="1" si="82"/>
        <v/>
      </c>
      <c r="AC166" s="310" t="e">
        <f t="shared" ca="1" si="83"/>
        <v>#N/A</v>
      </c>
      <c r="AD166" s="323" t="e">
        <f t="shared" ca="1" si="84"/>
        <v>#N/A</v>
      </c>
      <c r="AE166" s="324">
        <f t="shared" ca="1" si="63"/>
        <v>183.39023118914014</v>
      </c>
      <c r="AG166" s="306">
        <f t="shared" ca="1" si="85"/>
        <v>46.438172847011543</v>
      </c>
      <c r="AH166" s="304">
        <f t="shared" ca="1" si="86"/>
        <v>56.056628732731994</v>
      </c>
    </row>
    <row r="167" spans="1:34" x14ac:dyDescent="0.2">
      <c r="A167" s="347">
        <f t="shared" ca="1" si="64"/>
        <v>0.01</v>
      </c>
      <c r="B167" s="304">
        <f t="shared" ca="1" si="65"/>
        <v>1.6300000000000012</v>
      </c>
      <c r="D167" s="306">
        <f t="shared" ca="1" si="66"/>
        <v>8.8708808308474794</v>
      </c>
      <c r="E167" s="307">
        <f t="shared" ca="1" si="67"/>
        <v>34.399892649813708</v>
      </c>
      <c r="F167" s="304">
        <f t="shared" ca="1" si="68"/>
        <v>35.525274679216828</v>
      </c>
      <c r="G167" s="306">
        <f t="shared" ca="1" si="69"/>
        <v>43.017015801463153</v>
      </c>
      <c r="H167" s="307">
        <f t="shared" ca="1" si="70"/>
        <v>214.28620827351568</v>
      </c>
      <c r="I167" s="304">
        <f t="shared" ca="1" si="71"/>
        <v>218.56130193770321</v>
      </c>
      <c r="J167" s="306">
        <f t="shared" ca="1" si="72"/>
        <v>36.009563864494062</v>
      </c>
      <c r="K167" s="307">
        <f t="shared" ca="1" si="73"/>
        <v>185.53137327724281</v>
      </c>
      <c r="L167" s="304">
        <f t="shared" ca="1" si="58"/>
        <v>188.9935955524702</v>
      </c>
      <c r="M167" s="306">
        <f t="shared" ca="1" si="74"/>
        <v>1.3726839362306287</v>
      </c>
      <c r="N167" s="304">
        <f t="shared" ca="1" si="75"/>
        <v>78.64899615142005</v>
      </c>
      <c r="P167" s="310">
        <f t="shared" ca="1" si="76"/>
        <v>17</v>
      </c>
      <c r="Q167" s="304">
        <f t="shared" ca="1" si="77"/>
        <v>519.36499999998978</v>
      </c>
      <c r="R167" s="306">
        <f t="shared" ca="1" si="78"/>
        <v>0.25523244946847556</v>
      </c>
      <c r="S167" s="307">
        <f t="shared" ca="1" si="79"/>
        <v>7.4889874266536838</v>
      </c>
      <c r="T167" s="304">
        <f t="shared" ca="1" si="59"/>
        <v>73.466966655472646</v>
      </c>
      <c r="U167" s="311">
        <f t="shared" ca="1" si="60"/>
        <v>0</v>
      </c>
      <c r="V167" s="306">
        <f t="shared" ca="1" si="61"/>
        <v>1.2024813030123644</v>
      </c>
      <c r="W167" s="304">
        <f t="shared" ca="1" si="62"/>
        <v>182.23048040011349</v>
      </c>
      <c r="Y167" s="314" t="str">
        <f t="shared" ca="1" si="80"/>
        <v/>
      </c>
      <c r="Z167" s="315" t="str">
        <f t="shared" ca="1" si="81"/>
        <v/>
      </c>
      <c r="AA167" s="316" t="str">
        <f t="shared" ca="1" si="82"/>
        <v/>
      </c>
      <c r="AC167" s="310" t="e">
        <f t="shared" ca="1" si="83"/>
        <v>#N/A</v>
      </c>
      <c r="AD167" s="323" t="e">
        <f t="shared" ca="1" si="84"/>
        <v>#N/A</v>
      </c>
      <c r="AE167" s="324">
        <f t="shared" ca="1" si="63"/>
        <v>185.53137327724281</v>
      </c>
      <c r="AG167" s="306">
        <f t="shared" ca="1" si="85"/>
        <v>35.472812874145859</v>
      </c>
      <c r="AH167" s="304">
        <f t="shared" ca="1" si="86"/>
        <v>45.091098177169627</v>
      </c>
    </row>
    <row r="168" spans="1:34" x14ac:dyDescent="0.2">
      <c r="A168" s="347">
        <f t="shared" ca="1" si="64"/>
        <v>0.01</v>
      </c>
      <c r="B168" s="304">
        <f t="shared" ca="1" si="65"/>
        <v>1.6400000000000012</v>
      </c>
      <c r="D168" s="306">
        <f t="shared" ca="1" si="66"/>
        <v>6.7699870284784609</v>
      </c>
      <c r="E168" s="307">
        <f t="shared" ca="1" si="67"/>
        <v>23.914209440492868</v>
      </c>
      <c r="F168" s="304">
        <f t="shared" ca="1" si="68"/>
        <v>24.854016527103319</v>
      </c>
      <c r="G168" s="306">
        <f t="shared" ca="1" si="69"/>
        <v>43.084715671747936</v>
      </c>
      <c r="H168" s="307">
        <f t="shared" ca="1" si="70"/>
        <v>214.52535036792062</v>
      </c>
      <c r="I168" s="304">
        <f t="shared" ca="1" si="71"/>
        <v>218.80909184719556</v>
      </c>
      <c r="J168" s="306">
        <f t="shared" ca="1" si="72"/>
        <v>36.440072521860117</v>
      </c>
      <c r="K168" s="307">
        <f t="shared" ca="1" si="73"/>
        <v>187.67543107044997</v>
      </c>
      <c r="L168" s="304">
        <f t="shared" ca="1" si="58"/>
        <v>191.18040253351711</v>
      </c>
      <c r="M168" s="306">
        <f t="shared" ca="1" si="74"/>
        <v>1.3725956951832607</v>
      </c>
      <c r="N168" s="304">
        <f t="shared" ca="1" si="75"/>
        <v>78.643940311826057</v>
      </c>
      <c r="P168" s="310">
        <f t="shared" ca="1" si="76"/>
        <v>17</v>
      </c>
      <c r="Q168" s="304">
        <f t="shared" ca="1" si="77"/>
        <v>439.75499999998891</v>
      </c>
      <c r="R168" s="306">
        <f t="shared" ca="1" si="78"/>
        <v>0.21610956806101458</v>
      </c>
      <c r="S168" s="307">
        <f t="shared" ca="1" si="79"/>
        <v>7.4868263309730736</v>
      </c>
      <c r="T168" s="304">
        <f t="shared" ca="1" si="59"/>
        <v>73.445766306845854</v>
      </c>
      <c r="U168" s="311">
        <f t="shared" ca="1" si="60"/>
        <v>0</v>
      </c>
      <c r="V168" s="306">
        <f t="shared" ca="1" si="61"/>
        <v>1.2022234892673713</v>
      </c>
      <c r="W168" s="304">
        <f t="shared" ca="1" si="62"/>
        <v>182.60475650766739</v>
      </c>
      <c r="Y168" s="314" t="str">
        <f t="shared" ca="1" si="80"/>
        <v/>
      </c>
      <c r="Z168" s="315" t="str">
        <f t="shared" ca="1" si="81"/>
        <v/>
      </c>
      <c r="AA168" s="316" t="str">
        <f t="shared" ca="1" si="82"/>
        <v/>
      </c>
      <c r="AC168" s="310" t="e">
        <f t="shared" ca="1" si="83"/>
        <v>#N/A</v>
      </c>
      <c r="AD168" s="323" t="e">
        <f t="shared" ca="1" si="84"/>
        <v>#N/A</v>
      </c>
      <c r="AE168" s="324">
        <f t="shared" ca="1" si="63"/>
        <v>187.67543107044997</v>
      </c>
      <c r="AG168" s="306">
        <f t="shared" ca="1" si="85"/>
        <v>24.778905761575921</v>
      </c>
      <c r="AH168" s="304">
        <f t="shared" ca="1" si="86"/>
        <v>34.397020608651488</v>
      </c>
    </row>
    <row r="169" spans="1:34" x14ac:dyDescent="0.2">
      <c r="A169" s="347">
        <f t="shared" ca="1" si="64"/>
        <v>0.01</v>
      </c>
      <c r="B169" s="304">
        <f t="shared" ca="1" si="65"/>
        <v>1.6500000000000012</v>
      </c>
      <c r="D169" s="306">
        <f t="shared" ca="1" si="66"/>
        <v>5.1764641606786759</v>
      </c>
      <c r="E169" s="307">
        <f t="shared" ca="1" si="67"/>
        <v>15.964402138268186</v>
      </c>
      <c r="F169" s="304">
        <f t="shared" ca="1" si="68"/>
        <v>16.782667155107756</v>
      </c>
      <c r="G169" s="306">
        <f t="shared" ca="1" si="69"/>
        <v>43.136480313354724</v>
      </c>
      <c r="H169" s="307">
        <f t="shared" ca="1" si="70"/>
        <v>214.68499438930331</v>
      </c>
      <c r="I169" s="304">
        <f t="shared" ca="1" si="71"/>
        <v>218.97580402811548</v>
      </c>
      <c r="J169" s="306">
        <f t="shared" ca="1" si="72"/>
        <v>36.871178501785629</v>
      </c>
      <c r="K169" s="307">
        <f t="shared" ca="1" si="73"/>
        <v>189.82148279423609</v>
      </c>
      <c r="L169" s="304">
        <f t="shared" ca="1" si="58"/>
        <v>193.36928177534563</v>
      </c>
      <c r="M169" s="306">
        <f t="shared" ca="1" si="74"/>
        <v>1.3725074825582446</v>
      </c>
      <c r="N169" s="304">
        <f t="shared" ca="1" si="75"/>
        <v>78.638886100712867</v>
      </c>
      <c r="P169" s="310">
        <f t="shared" ca="1" si="76"/>
        <v>18</v>
      </c>
      <c r="Q169" s="304">
        <f t="shared" ca="1" si="77"/>
        <v>379.37749999999403</v>
      </c>
      <c r="R169" s="306">
        <f t="shared" ca="1" si="78"/>
        <v>0.18643814773468939</v>
      </c>
      <c r="S169" s="307">
        <f t="shared" ca="1" si="79"/>
        <v>7.4849619494957267</v>
      </c>
      <c r="T169" s="304">
        <f t="shared" ca="1" si="59"/>
        <v>73.427476724553088</v>
      </c>
      <c r="U169" s="311">
        <f t="shared" ca="1" si="60"/>
        <v>0</v>
      </c>
      <c r="V169" s="306">
        <f t="shared" ca="1" si="61"/>
        <v>1.2019654905942481</v>
      </c>
      <c r="W169" s="304">
        <f t="shared" ca="1" si="62"/>
        <v>182.84387125099354</v>
      </c>
      <c r="Y169" s="314" t="str">
        <f t="shared" ca="1" si="80"/>
        <v/>
      </c>
      <c r="Z169" s="315" t="str">
        <f t="shared" ca="1" si="81"/>
        <v/>
      </c>
      <c r="AA169" s="316" t="str">
        <f t="shared" ca="1" si="82"/>
        <v/>
      </c>
      <c r="AC169" s="310" t="e">
        <f t="shared" ca="1" si="83"/>
        <v>#N/A</v>
      </c>
      <c r="AD169" s="323" t="e">
        <f t="shared" ca="1" si="84"/>
        <v>#N/A</v>
      </c>
      <c r="AE169" s="324">
        <f t="shared" ca="1" si="63"/>
        <v>189.82148279423609</v>
      </c>
      <c r="AG169" s="306">
        <f t="shared" ca="1" si="85"/>
        <v>16.671132894338875</v>
      </c>
      <c r="AH169" s="304">
        <f t="shared" ca="1" si="86"/>
        <v>26.289077328654091</v>
      </c>
    </row>
    <row r="170" spans="1:34" x14ac:dyDescent="0.2">
      <c r="A170" s="347">
        <f t="shared" ca="1" si="64"/>
        <v>0.01</v>
      </c>
      <c r="B170" s="304">
        <f t="shared" ca="1" si="65"/>
        <v>1.6600000000000013</v>
      </c>
      <c r="D170" s="306">
        <f t="shared" ca="1" si="66"/>
        <v>4.0904837172414821</v>
      </c>
      <c r="E170" s="307">
        <f t="shared" ca="1" si="67"/>
        <v>10.547837902079609</v>
      </c>
      <c r="F170" s="304">
        <f t="shared" ca="1" si="68"/>
        <v>11.313219764928323</v>
      </c>
      <c r="G170" s="306">
        <f t="shared" ca="1" si="69"/>
        <v>43.177385150527137</v>
      </c>
      <c r="H170" s="307">
        <f t="shared" ca="1" si="70"/>
        <v>214.79047276832412</v>
      </c>
      <c r="I170" s="304">
        <f t="shared" ca="1" si="71"/>
        <v>219.08727434626857</v>
      </c>
      <c r="J170" s="306">
        <f t="shared" ca="1" si="72"/>
        <v>37.302747829105037</v>
      </c>
      <c r="K170" s="307">
        <f t="shared" ca="1" si="73"/>
        <v>191.96886013002424</v>
      </c>
      <c r="L170" s="304">
        <f t="shared" ca="1" si="58"/>
        <v>195.55955168496018</v>
      </c>
      <c r="M170" s="306">
        <f t="shared" ca="1" si="74"/>
        <v>1.3724192760902421</v>
      </c>
      <c r="N170" s="304">
        <f t="shared" ca="1" si="75"/>
        <v>78.633832242370559</v>
      </c>
      <c r="P170" s="310">
        <f t="shared" ca="1" si="76"/>
        <v>18</v>
      </c>
      <c r="Q170" s="304">
        <f t="shared" ca="1" si="77"/>
        <v>338.23249999999405</v>
      </c>
      <c r="R170" s="306">
        <f t="shared" ca="1" si="78"/>
        <v>0.16621818848949454</v>
      </c>
      <c r="S170" s="307">
        <f t="shared" ca="1" si="79"/>
        <v>7.4832997676108315</v>
      </c>
      <c r="T170" s="304">
        <f t="shared" ca="1" si="59"/>
        <v>73.411170720262263</v>
      </c>
      <c r="U170" s="311">
        <f t="shared" ca="1" si="60"/>
        <v>0</v>
      </c>
      <c r="V170" s="306">
        <f t="shared" ca="1" si="61"/>
        <v>1.2017073874481237</v>
      </c>
      <c r="W170" s="304">
        <f t="shared" ca="1" si="62"/>
        <v>182.9907702980608</v>
      </c>
      <c r="Y170" s="314" t="str">
        <f t="shared" ca="1" si="80"/>
        <v/>
      </c>
      <c r="Z170" s="315" t="str">
        <f t="shared" ca="1" si="81"/>
        <v/>
      </c>
      <c r="AA170" s="316" t="str">
        <f t="shared" ca="1" si="82"/>
        <v/>
      </c>
      <c r="AC170" s="310" t="e">
        <f t="shared" ca="1" si="83"/>
        <v>#N/A</v>
      </c>
      <c r="AD170" s="323" t="e">
        <f t="shared" ca="1" si="84"/>
        <v>#N/A</v>
      </c>
      <c r="AE170" s="324">
        <f t="shared" ca="1" si="63"/>
        <v>191.96886013002424</v>
      </c>
      <c r="AG170" s="306">
        <f t="shared" ca="1" si="85"/>
        <v>11.146946586184132</v>
      </c>
      <c r="AH170" s="304">
        <f t="shared" ca="1" si="86"/>
        <v>20.764720587774999</v>
      </c>
    </row>
    <row r="171" spans="1:34" x14ac:dyDescent="0.2">
      <c r="A171" s="347">
        <f t="shared" ca="1" si="64"/>
        <v>0.01</v>
      </c>
      <c r="B171" s="304">
        <f t="shared" ca="1" si="65"/>
        <v>1.6700000000000013</v>
      </c>
      <c r="D171" s="306">
        <f t="shared" ca="1" si="66"/>
        <v>2.6203483186136878</v>
      </c>
      <c r="E171" s="307">
        <f t="shared" ca="1" si="67"/>
        <v>3.2252000754692762</v>
      </c>
      <c r="F171" s="304">
        <f t="shared" ca="1" si="68"/>
        <v>4.155495257808461</v>
      </c>
      <c r="G171" s="306">
        <f t="shared" ca="1" si="69"/>
        <v>43.203588633713274</v>
      </c>
      <c r="H171" s="307">
        <f t="shared" ca="1" si="70"/>
        <v>214.8227247690788</v>
      </c>
      <c r="I171" s="304">
        <f t="shared" ca="1" si="71"/>
        <v>219.12405880697469</v>
      </c>
      <c r="J171" s="306">
        <f t="shared" ca="1" si="72"/>
        <v>37.734652698026238</v>
      </c>
      <c r="K171" s="307">
        <f t="shared" ca="1" si="73"/>
        <v>194.11692611771124</v>
      </c>
      <c r="L171" s="304">
        <f t="shared" ca="1" si="58"/>
        <v>197.75056262784597</v>
      </c>
      <c r="M171" s="306">
        <f t="shared" ca="1" si="74"/>
        <v>1.3723310457143387</v>
      </c>
      <c r="N171" s="304">
        <f t="shared" ca="1" si="75"/>
        <v>78.628777014206449</v>
      </c>
      <c r="P171" s="310">
        <f t="shared" ca="1" si="76"/>
        <v>19</v>
      </c>
      <c r="Q171" s="304">
        <f t="shared" ca="1" si="77"/>
        <v>282.46999999998985</v>
      </c>
      <c r="R171" s="306">
        <f t="shared" ca="1" si="78"/>
        <v>0.13881472567723876</v>
      </c>
      <c r="S171" s="307">
        <f t="shared" ca="1" si="79"/>
        <v>7.481911620354059</v>
      </c>
      <c r="T171" s="304">
        <f t="shared" ca="1" si="59"/>
        <v>73.397552995673323</v>
      </c>
      <c r="U171" s="311">
        <f t="shared" ca="1" si="60"/>
        <v>0</v>
      </c>
      <c r="V171" s="306">
        <f t="shared" ca="1" si="61"/>
        <v>1.2014492564478862</v>
      </c>
      <c r="W171" s="304">
        <f t="shared" ca="1" si="62"/>
        <v>183.01290300288491</v>
      </c>
      <c r="Y171" s="314" t="str">
        <f t="shared" ca="1" si="80"/>
        <v/>
      </c>
      <c r="Z171" s="315" t="str">
        <f t="shared" ca="1" si="81"/>
        <v/>
      </c>
      <c r="AA171" s="316" t="str">
        <f t="shared" ca="1" si="82"/>
        <v/>
      </c>
      <c r="AC171" s="310" t="e">
        <f t="shared" ca="1" si="83"/>
        <v>#N/A</v>
      </c>
      <c r="AD171" s="323" t="e">
        <f t="shared" ca="1" si="84"/>
        <v>#N/A</v>
      </c>
      <c r="AE171" s="324">
        <f t="shared" ca="1" si="63"/>
        <v>194.11692611771124</v>
      </c>
      <c r="AG171" s="306">
        <f t="shared" ca="1" si="85"/>
        <v>3.6783607809648462</v>
      </c>
      <c r="AH171" s="304">
        <f t="shared" ca="1" si="86"/>
        <v>13.29596428689457</v>
      </c>
    </row>
    <row r="172" spans="1:34" x14ac:dyDescent="0.2">
      <c r="A172" s="347">
        <f t="shared" ca="1" si="64"/>
        <v>0.01</v>
      </c>
      <c r="B172" s="304">
        <f t="shared" ca="1" si="65"/>
        <v>1.6800000000000013</v>
      </c>
      <c r="D172" s="306">
        <f t="shared" ca="1" si="66"/>
        <v>1.0450735730883158</v>
      </c>
      <c r="E172" s="307">
        <f t="shared" ca="1" si="67"/>
        <v>-4.6135438801535216</v>
      </c>
      <c r="F172" s="304">
        <f t="shared" ca="1" si="68"/>
        <v>4.7304297803972934</v>
      </c>
      <c r="G172" s="306">
        <f t="shared" ca="1" si="69"/>
        <v>43.214039369444158</v>
      </c>
      <c r="H172" s="307">
        <f t="shared" ca="1" si="70"/>
        <v>214.77658933027726</v>
      </c>
      <c r="I172" s="304">
        <f t="shared" ca="1" si="71"/>
        <v>219.08089036465606</v>
      </c>
      <c r="J172" s="306">
        <f t="shared" ca="1" si="72"/>
        <v>38.166740838042024</v>
      </c>
      <c r="K172" s="307">
        <f t="shared" ca="1" si="73"/>
        <v>196.26492268820803</v>
      </c>
      <c r="L172" s="304">
        <f t="shared" ca="1" si="58"/>
        <v>199.94154141650139</v>
      </c>
      <c r="M172" s="306">
        <f t="shared" ca="1" si="74"/>
        <v>1.3722427592206223</v>
      </c>
      <c r="N172" s="304">
        <f t="shared" ca="1" si="75"/>
        <v>78.623718570728485</v>
      </c>
      <c r="P172" s="310">
        <f t="shared" ca="1" si="76"/>
        <v>20</v>
      </c>
      <c r="Q172" s="304">
        <f t="shared" ca="1" si="77"/>
        <v>222.66499999999292</v>
      </c>
      <c r="R172" s="306">
        <f t="shared" ca="1" si="78"/>
        <v>0.10942465002627712</v>
      </c>
      <c r="S172" s="307">
        <f t="shared" ca="1" si="79"/>
        <v>7.480817373853796</v>
      </c>
      <c r="T172" s="304">
        <f t="shared" ca="1" si="59"/>
        <v>73.386818437505738</v>
      </c>
      <c r="U172" s="311">
        <f t="shared" ca="1" si="60"/>
        <v>0</v>
      </c>
      <c r="V172" s="306">
        <f t="shared" ca="1" si="61"/>
        <v>1.2011911886961866</v>
      </c>
      <c r="W172" s="304">
        <f t="shared" ca="1" si="62"/>
        <v>182.90150620321103</v>
      </c>
      <c r="Y172" s="314" t="str">
        <f t="shared" ca="1" si="80"/>
        <v/>
      </c>
      <c r="Z172" s="315" t="str">
        <f t="shared" ca="1" si="81"/>
        <v/>
      </c>
      <c r="AA172" s="316" t="str">
        <f t="shared" ca="1" si="82"/>
        <v/>
      </c>
      <c r="AC172" s="310" t="e">
        <f t="shared" ca="1" si="83"/>
        <v>#N/A</v>
      </c>
      <c r="AD172" s="323" t="e">
        <f t="shared" ca="1" si="84"/>
        <v>#N/A</v>
      </c>
      <c r="AE172" s="324">
        <f t="shared" ca="1" si="63"/>
        <v>196.26492268820803</v>
      </c>
      <c r="AG172" s="306">
        <f t="shared" ca="1" si="85"/>
        <v>-4.3169296132192034</v>
      </c>
      <c r="AH172" s="304">
        <f t="shared" ca="1" si="86"/>
        <v>5.300503275978377</v>
      </c>
    </row>
    <row r="173" spans="1:34" x14ac:dyDescent="0.2">
      <c r="A173" s="347">
        <f t="shared" ca="1" si="64"/>
        <v>0.01</v>
      </c>
      <c r="B173" s="304">
        <f t="shared" ca="1" si="65"/>
        <v>1.6900000000000013</v>
      </c>
      <c r="D173" s="306">
        <f t="shared" ca="1" si="66"/>
        <v>-1.3244700320392342</v>
      </c>
      <c r="E173" s="307">
        <f t="shared" ca="1" si="67"/>
        <v>-16.392702295418594</v>
      </c>
      <c r="F173" s="304">
        <f t="shared" ca="1" si="68"/>
        <v>16.446121409377717</v>
      </c>
      <c r="G173" s="306">
        <f t="shared" ca="1" si="69"/>
        <v>43.200794669123766</v>
      </c>
      <c r="H173" s="307">
        <f t="shared" ca="1" si="70"/>
        <v>214.61266230732306</v>
      </c>
      <c r="I173" s="304">
        <f t="shared" ca="1" si="71"/>
        <v>218.91757234786081</v>
      </c>
      <c r="J173" s="306">
        <f t="shared" ca="1" si="72"/>
        <v>38.598815008234865</v>
      </c>
      <c r="K173" s="307">
        <f t="shared" ca="1" si="73"/>
        <v>198.41186894639603</v>
      </c>
      <c r="L173" s="304">
        <f t="shared" ca="1" si="58"/>
        <v>202.13148754917373</v>
      </c>
      <c r="M173" s="306">
        <f t="shared" ca="1" si="74"/>
        <v>1.3721543680774997</v>
      </c>
      <c r="N173" s="304">
        <f t="shared" ca="1" si="75"/>
        <v>78.618654131281232</v>
      </c>
      <c r="P173" s="310">
        <f t="shared" ca="1" si="76"/>
        <v>21</v>
      </c>
      <c r="Q173" s="304">
        <f t="shared" ca="1" si="77"/>
        <v>132.67499999998114</v>
      </c>
      <c r="R173" s="306">
        <f t="shared" ca="1" si="78"/>
        <v>6.5200707081196935E-2</v>
      </c>
      <c r="S173" s="307">
        <f t="shared" ca="1" si="79"/>
        <v>7.4801653667829839</v>
      </c>
      <c r="T173" s="304">
        <f t="shared" ca="1" si="59"/>
        <v>73.380422248141073</v>
      </c>
      <c r="U173" s="311">
        <f t="shared" ca="1" si="60"/>
        <v>0</v>
      </c>
      <c r="V173" s="306">
        <f t="shared" ca="1" si="61"/>
        <v>1.2009333019807349</v>
      </c>
      <c r="W173" s="304">
        <f t="shared" ca="1" si="62"/>
        <v>182.58970397826084</v>
      </c>
      <c r="Y173" s="314" t="str">
        <f t="shared" ca="1" si="80"/>
        <v/>
      </c>
      <c r="Z173" s="315" t="str">
        <f t="shared" ca="1" si="81"/>
        <v/>
      </c>
      <c r="AA173" s="316" t="str">
        <f t="shared" ca="1" si="82"/>
        <v/>
      </c>
      <c r="AC173" s="310" t="e">
        <f t="shared" ca="1" si="83"/>
        <v>#N/A</v>
      </c>
      <c r="AD173" s="323" t="e">
        <f t="shared" ca="1" si="84"/>
        <v>#N/A</v>
      </c>
      <c r="AE173" s="324">
        <f t="shared" ca="1" si="63"/>
        <v>198.41186894639603</v>
      </c>
      <c r="AG173" s="306">
        <f t="shared" ca="1" si="85"/>
        <v>-16.331887199605973</v>
      </c>
      <c r="AH173" s="304">
        <f t="shared" ca="1" si="86"/>
        <v>-6.7146251105984502</v>
      </c>
    </row>
    <row r="174" spans="1:34" x14ac:dyDescent="0.2">
      <c r="A174" s="347">
        <f t="shared" ca="1" si="64"/>
        <v>0.01</v>
      </c>
      <c r="B174" s="304">
        <f t="shared" ca="1" si="65"/>
        <v>1.7000000000000013</v>
      </c>
      <c r="D174" s="306">
        <f t="shared" ca="1" si="66"/>
        <v>-3.9293435408474333</v>
      </c>
      <c r="E174" s="307">
        <f t="shared" ca="1" si="67"/>
        <v>-29.330170517234968</v>
      </c>
      <c r="F174" s="304">
        <f t="shared" ca="1" si="68"/>
        <v>29.592205785173885</v>
      </c>
      <c r="G174" s="306">
        <f t="shared" ca="1" si="69"/>
        <v>43.161501233715292</v>
      </c>
      <c r="H174" s="307">
        <f t="shared" ca="1" si="70"/>
        <v>214.31936060215071</v>
      </c>
      <c r="I174" s="304">
        <f t="shared" ca="1" si="71"/>
        <v>218.62228504354883</v>
      </c>
      <c r="J174" s="306">
        <f t="shared" ca="1" si="72"/>
        <v>39.030626487749061</v>
      </c>
      <c r="K174" s="307">
        <f t="shared" ca="1" si="73"/>
        <v>200.5565290609434</v>
      </c>
      <c r="L174" s="304">
        <f t="shared" ca="1" si="58"/>
        <v>204.31914044699585</v>
      </c>
      <c r="M174" s="306">
        <f t="shared" ca="1" si="74"/>
        <v>1.372065818663619</v>
      </c>
      <c r="N174" s="304">
        <f t="shared" ca="1" si="75"/>
        <v>78.613580623587509</v>
      </c>
      <c r="P174" s="310">
        <f t="shared" ca="1" si="76"/>
        <v>22</v>
      </c>
      <c r="Q174" s="304">
        <f t="shared" ca="1" si="77"/>
        <v>33.649999999990285</v>
      </c>
      <c r="R174" s="306">
        <f t="shared" ca="1" si="78"/>
        <v>1.6536678298714566E-2</v>
      </c>
      <c r="S174" s="307">
        <f t="shared" ca="1" si="79"/>
        <v>7.4799999999999969</v>
      </c>
      <c r="T174" s="304">
        <f t="shared" ca="1" si="59"/>
        <v>73.37879999999997</v>
      </c>
      <c r="U174" s="311">
        <f t="shared" ca="1" si="60"/>
        <v>0</v>
      </c>
      <c r="V174" s="306">
        <f t="shared" ca="1" si="61"/>
        <v>1.2006757446017675</v>
      </c>
      <c r="W174" s="304">
        <f t="shared" ca="1" si="62"/>
        <v>182.05840996176497</v>
      </c>
      <c r="Y174" s="314" t="str">
        <f t="shared" ca="1" si="80"/>
        <v/>
      </c>
      <c r="Z174" s="315" t="str">
        <f t="shared" ca="1" si="81"/>
        <v/>
      </c>
      <c r="AA174" s="316" t="str">
        <f t="shared" ca="1" si="82"/>
        <v/>
      </c>
      <c r="AC174" s="310" t="e">
        <f t="shared" ca="1" si="83"/>
        <v>#N/A</v>
      </c>
      <c r="AD174" s="323" t="e">
        <f t="shared" ca="1" si="84"/>
        <v>#N/A</v>
      </c>
      <c r="AE174" s="324">
        <f t="shared" ca="1" si="63"/>
        <v>200.5565290609434</v>
      </c>
      <c r="AG174" s="306">
        <f t="shared" ca="1" si="85"/>
        <v>-29.528816142051081</v>
      </c>
      <c r="AH174" s="304">
        <f t="shared" ca="1" si="86"/>
        <v>-19.911725130784841</v>
      </c>
    </row>
    <row r="175" spans="1:34" x14ac:dyDescent="0.2">
      <c r="A175" s="347">
        <f t="shared" ca="1" si="64"/>
        <v>0.01</v>
      </c>
      <c r="B175" s="304">
        <f t="shared" ca="1" si="65"/>
        <v>1.7100000000000013</v>
      </c>
      <c r="D175" s="306">
        <f t="shared" ca="1" si="66"/>
        <v>-4.8051976955654032</v>
      </c>
      <c r="E175" s="307">
        <f t="shared" ca="1" si="67"/>
        <v>-33.67031227468167</v>
      </c>
      <c r="F175" s="304">
        <f t="shared" ca="1" si="68"/>
        <v>34.011466501285213</v>
      </c>
      <c r="G175" s="306">
        <f t="shared" ca="1" si="69"/>
        <v>43.113449256759637</v>
      </c>
      <c r="H175" s="307">
        <f t="shared" ca="1" si="70"/>
        <v>213.98265747940388</v>
      </c>
      <c r="I175" s="304">
        <f t="shared" ca="1" si="71"/>
        <v>218.28272311102194</v>
      </c>
      <c r="J175" s="306">
        <f t="shared" ca="1" si="72"/>
        <v>39.462001240201438</v>
      </c>
      <c r="K175" s="307">
        <f t="shared" ca="1" si="73"/>
        <v>202.69803915135117</v>
      </c>
      <c r="L175" s="304">
        <f t="shared" ca="1" si="58"/>
        <v>206.50361889730735</v>
      </c>
      <c r="M175" s="306">
        <f t="shared" ca="1" si="74"/>
        <v>1.3719770924890149</v>
      </c>
      <c r="N175" s="304">
        <f t="shared" ca="1" si="75"/>
        <v>78.608496988250351</v>
      </c>
      <c r="P175" s="310">
        <f t="shared" ca="1" si="76"/>
        <v>23</v>
      </c>
      <c r="Q175" s="304">
        <f t="shared" ca="1" si="77"/>
        <v>0</v>
      </c>
      <c r="R175" s="306">
        <f t="shared" ca="1" si="78"/>
        <v>0</v>
      </c>
      <c r="S175" s="307">
        <f t="shared" ca="1" si="79"/>
        <v>7.4799999999999969</v>
      </c>
      <c r="T175" s="304">
        <f t="shared" ca="1" si="59"/>
        <v>73.37879999999997</v>
      </c>
      <c r="U175" s="311">
        <f t="shared" ca="1" si="60"/>
        <v>0</v>
      </c>
      <c r="V175" s="306">
        <f t="shared" ca="1" si="61"/>
        <v>1.2004186200794364</v>
      </c>
      <c r="W175" s="304">
        <f t="shared" ca="1" si="62"/>
        <v>181.45443981656942</v>
      </c>
      <c r="Y175" s="314" t="str">
        <f t="shared" ca="1" si="80"/>
        <v>Fin de propulsion</v>
      </c>
      <c r="Z175" s="315" t="str">
        <f t="shared" ca="1" si="81"/>
        <v/>
      </c>
      <c r="AA175" s="316" t="str">
        <f t="shared" ca="1" si="82"/>
        <v/>
      </c>
      <c r="AC175" s="310" t="e">
        <f t="shared" ca="1" si="83"/>
        <v>#N/A</v>
      </c>
      <c r="AD175" s="323" t="e">
        <f t="shared" ca="1" si="84"/>
        <v>#N/A</v>
      </c>
      <c r="AE175" s="324">
        <f t="shared" ca="1" si="63"/>
        <v>202.69803915135117</v>
      </c>
      <c r="AG175" s="306">
        <f t="shared" ca="1" si="85"/>
        <v>-33.956279172414462</v>
      </c>
      <c r="AH175" s="304">
        <f t="shared" ca="1" si="86"/>
        <v>-24.339359620556824</v>
      </c>
    </row>
    <row r="176" spans="1:34" x14ac:dyDescent="0.2">
      <c r="A176" s="347">
        <f t="shared" ca="1" si="64"/>
        <v>0.01</v>
      </c>
      <c r="B176" s="304">
        <f t="shared" ca="1" si="65"/>
        <v>1.7200000000000013</v>
      </c>
      <c r="D176" s="306">
        <f t="shared" ca="1" si="66"/>
        <v>-4.7913666722024217</v>
      </c>
      <c r="E176" s="307">
        <f t="shared" ca="1" si="67"/>
        <v>-33.59073179369598</v>
      </c>
      <c r="F176" s="304">
        <f t="shared" ca="1" si="68"/>
        <v>33.930730275423045</v>
      </c>
      <c r="G176" s="306">
        <f t="shared" ca="1" si="69"/>
        <v>43.065535590037612</v>
      </c>
      <c r="H176" s="307">
        <f t="shared" ca="1" si="70"/>
        <v>213.64675016146691</v>
      </c>
      <c r="I176" s="304">
        <f t="shared" ca="1" si="71"/>
        <v>217.94397034608014</v>
      </c>
      <c r="J176" s="306">
        <f t="shared" ca="1" si="72"/>
        <v>39.892896164435427</v>
      </c>
      <c r="K176" s="307">
        <f t="shared" ca="1" si="73"/>
        <v>204.83618618955552</v>
      </c>
      <c r="L176" s="304">
        <f t="shared" ca="1" si="58"/>
        <v>208.68470556576179</v>
      </c>
      <c r="M176" s="306">
        <f t="shared" ca="1" si="74"/>
        <v>1.3718881892556667</v>
      </c>
      <c r="N176" s="304">
        <f t="shared" ca="1" si="75"/>
        <v>78.603403208194436</v>
      </c>
      <c r="P176" s="310">
        <f t="shared" ca="1" si="76"/>
        <v>23</v>
      </c>
      <c r="Q176" s="304">
        <f t="shared" ca="1" si="77"/>
        <v>0</v>
      </c>
      <c r="R176" s="306">
        <f t="shared" ca="1" si="78"/>
        <v>0</v>
      </c>
      <c r="S176" s="307">
        <f t="shared" ca="1" si="79"/>
        <v>7.4799999999999969</v>
      </c>
      <c r="T176" s="304">
        <f t="shared" ca="1" si="59"/>
        <v>73.37879999999997</v>
      </c>
      <c r="U176" s="311">
        <f t="shared" ca="1" si="60"/>
        <v>0</v>
      </c>
      <c r="V176" s="306">
        <f t="shared" ca="1" si="61"/>
        <v>1.2001619537253447</v>
      </c>
      <c r="W176" s="304">
        <f t="shared" ca="1" si="62"/>
        <v>180.85300167990164</v>
      </c>
      <c r="Y176" s="314" t="str">
        <f t="shared" ca="1" si="80"/>
        <v/>
      </c>
      <c r="Z176" s="315" t="str">
        <f t="shared" ca="1" si="81"/>
        <v/>
      </c>
      <c r="AA176" s="316" t="str">
        <f t="shared" ca="1" si="82"/>
        <v/>
      </c>
      <c r="AC176" s="310" t="e">
        <f t="shared" ca="1" si="83"/>
        <v>#N/A</v>
      </c>
      <c r="AD176" s="323" t="e">
        <f t="shared" ca="1" si="84"/>
        <v>#N/A</v>
      </c>
      <c r="AE176" s="324">
        <f t="shared" ca="1" si="63"/>
        <v>204.83618618955552</v>
      </c>
      <c r="AG176" s="306">
        <f t="shared" ca="1" si="85"/>
        <v>-33.875362623291942</v>
      </c>
      <c r="AH176" s="304">
        <f t="shared" ca="1" si="86"/>
        <v>-24.258614948739236</v>
      </c>
    </row>
    <row r="177" spans="1:34" x14ac:dyDescent="0.2">
      <c r="A177" s="347">
        <f t="shared" ca="1" si="64"/>
        <v>0.01</v>
      </c>
      <c r="B177" s="304">
        <f t="shared" ca="1" si="65"/>
        <v>1.7300000000000013</v>
      </c>
      <c r="D177" s="306">
        <f t="shared" ca="1" si="66"/>
        <v>-4.7775926496002432</v>
      </c>
      <c r="E177" s="307">
        <f t="shared" ca="1" si="67"/>
        <v>-33.511484939119789</v>
      </c>
      <c r="F177" s="304">
        <f t="shared" ca="1" si="68"/>
        <v>33.850332558933104</v>
      </c>
      <c r="G177" s="306">
        <f t="shared" ca="1" si="69"/>
        <v>43.017759663541611</v>
      </c>
      <c r="H177" s="307">
        <f t="shared" ca="1" si="70"/>
        <v>213.31163531207571</v>
      </c>
      <c r="I177" s="304">
        <f t="shared" ca="1" si="71"/>
        <v>217.60602336787971</v>
      </c>
      <c r="J177" s="306">
        <f t="shared" ca="1" si="72"/>
        <v>40.323312640703321</v>
      </c>
      <c r="K177" s="307">
        <f t="shared" ca="1" si="73"/>
        <v>206.97097811692322</v>
      </c>
      <c r="L177" s="304">
        <f t="shared" ca="1" si="58"/>
        <v>210.8624085155906</v>
      </c>
      <c r="M177" s="306">
        <f t="shared" ca="1" si="74"/>
        <v>1.371799108664626</v>
      </c>
      <c r="N177" s="304">
        <f t="shared" ca="1" si="75"/>
        <v>78.598299266291264</v>
      </c>
      <c r="P177" s="310">
        <f t="shared" ca="1" si="76"/>
        <v>23</v>
      </c>
      <c r="Q177" s="304">
        <f t="shared" ca="1" si="77"/>
        <v>0</v>
      </c>
      <c r="R177" s="306">
        <f t="shared" ca="1" si="78"/>
        <v>0</v>
      </c>
      <c r="S177" s="307">
        <f t="shared" ca="1" si="79"/>
        <v>7.4799999999999969</v>
      </c>
      <c r="T177" s="304">
        <f t="shared" ca="1" si="59"/>
        <v>73.37879999999997</v>
      </c>
      <c r="U177" s="311">
        <f t="shared" ca="1" si="60"/>
        <v>0</v>
      </c>
      <c r="V177" s="306">
        <f t="shared" ca="1" si="61"/>
        <v>1.1999057443129109</v>
      </c>
      <c r="W177" s="304">
        <f t="shared" ca="1" si="62"/>
        <v>180.25408143657512</v>
      </c>
      <c r="Y177" s="314" t="str">
        <f t="shared" ca="1" si="80"/>
        <v/>
      </c>
      <c r="Z177" s="315" t="str">
        <f t="shared" ca="1" si="81"/>
        <v/>
      </c>
      <c r="AA177" s="316" t="str">
        <f t="shared" ca="1" si="82"/>
        <v/>
      </c>
      <c r="AC177" s="310" t="e">
        <f t="shared" ca="1" si="83"/>
        <v>#N/A</v>
      </c>
      <c r="AD177" s="323" t="e">
        <f t="shared" ca="1" si="84"/>
        <v>#N/A</v>
      </c>
      <c r="AE177" s="324">
        <f t="shared" ca="1" si="63"/>
        <v>206.97097811692322</v>
      </c>
      <c r="AG177" s="306">
        <f t="shared" ca="1" si="85"/>
        <v>-33.794784159058153</v>
      </c>
      <c r="AH177" s="304">
        <f t="shared" ca="1" si="86"/>
        <v>-24.178208780735524</v>
      </c>
    </row>
    <row r="178" spans="1:34" x14ac:dyDescent="0.2">
      <c r="A178" s="347">
        <f t="shared" ca="1" si="64"/>
        <v>0.01</v>
      </c>
      <c r="B178" s="304">
        <f t="shared" ca="1" si="65"/>
        <v>1.7400000000000013</v>
      </c>
      <c r="D178" s="306">
        <f t="shared" ca="1" si="66"/>
        <v>-4.7638753085440726</v>
      </c>
      <c r="E178" s="307">
        <f t="shared" ca="1" si="67"/>
        <v>-33.432569851065416</v>
      </c>
      <c r="F178" s="304">
        <f t="shared" ca="1" si="68"/>
        <v>33.770271464732467</v>
      </c>
      <c r="G178" s="306">
        <f t="shared" ca="1" si="69"/>
        <v>42.970120910456167</v>
      </c>
      <c r="H178" s="307">
        <f t="shared" ca="1" si="70"/>
        <v>212.97730961356504</v>
      </c>
      <c r="I178" s="304">
        <f t="shared" ca="1" si="71"/>
        <v>217.26887881445785</v>
      </c>
      <c r="J178" s="306">
        <f t="shared" ca="1" si="72"/>
        <v>40.753252043573312</v>
      </c>
      <c r="K178" s="307">
        <f t="shared" ca="1" si="73"/>
        <v>209.10242284155143</v>
      </c>
      <c r="L178" s="304">
        <f t="shared" ca="1" si="58"/>
        <v>213.03673577656502</v>
      </c>
      <c r="M178" s="306">
        <f t="shared" ca="1" si="74"/>
        <v>1.371709850416013</v>
      </c>
      <c r="N178" s="304">
        <f t="shared" ca="1" si="75"/>
        <v>78.593185145359016</v>
      </c>
      <c r="P178" s="310">
        <f t="shared" ca="1" si="76"/>
        <v>23</v>
      </c>
      <c r="Q178" s="304">
        <f t="shared" ca="1" si="77"/>
        <v>0</v>
      </c>
      <c r="R178" s="306">
        <f t="shared" ca="1" si="78"/>
        <v>0</v>
      </c>
      <c r="S178" s="307">
        <f t="shared" ca="1" si="79"/>
        <v>7.4799999999999969</v>
      </c>
      <c r="T178" s="304">
        <f t="shared" ca="1" si="59"/>
        <v>73.37879999999997</v>
      </c>
      <c r="U178" s="311">
        <f t="shared" ca="1" si="60"/>
        <v>0</v>
      </c>
      <c r="V178" s="306">
        <f t="shared" ca="1" si="61"/>
        <v>1.199649990620921</v>
      </c>
      <c r="W178" s="304">
        <f t="shared" ca="1" si="62"/>
        <v>179.65766507056924</v>
      </c>
      <c r="Y178" s="314" t="str">
        <f t="shared" ca="1" si="80"/>
        <v/>
      </c>
      <c r="Z178" s="315" t="str">
        <f t="shared" ca="1" si="81"/>
        <v/>
      </c>
      <c r="AA178" s="316" t="str">
        <f t="shared" ca="1" si="82"/>
        <v/>
      </c>
      <c r="AC178" s="310" t="e">
        <f t="shared" ca="1" si="83"/>
        <v>#N/A</v>
      </c>
      <c r="AD178" s="323" t="e">
        <f t="shared" ca="1" si="84"/>
        <v>#N/A</v>
      </c>
      <c r="AE178" s="324">
        <f t="shared" ca="1" si="63"/>
        <v>209.10242284155143</v>
      </c>
      <c r="AG178" s="306">
        <f t="shared" ca="1" si="85"/>
        <v>-33.71454189162354</v>
      </c>
      <c r="AH178" s="304">
        <f t="shared" ca="1" si="86"/>
        <v>-24.098139229488662</v>
      </c>
    </row>
    <row r="179" spans="1:34" x14ac:dyDescent="0.2">
      <c r="A179" s="347">
        <f t="shared" ca="1" si="64"/>
        <v>0.01</v>
      </c>
      <c r="B179" s="304">
        <f t="shared" ca="1" si="65"/>
        <v>1.7500000000000013</v>
      </c>
      <c r="D179" s="306">
        <f t="shared" ca="1" si="66"/>
        <v>-4.7502143320605343</v>
      </c>
      <c r="E179" s="307">
        <f t="shared" ca="1" si="67"/>
        <v>-33.353984682711705</v>
      </c>
      <c r="F179" s="304">
        <f t="shared" ca="1" si="68"/>
        <v>33.69054511899563</v>
      </c>
      <c r="G179" s="306">
        <f t="shared" ca="1" si="69"/>
        <v>42.92261876713556</v>
      </c>
      <c r="H179" s="307">
        <f t="shared" ca="1" si="70"/>
        <v>212.64376976673793</v>
      </c>
      <c r="I179" s="304">
        <f t="shared" ca="1" si="71"/>
        <v>216.9325333426001</v>
      </c>
      <c r="J179" s="306">
        <f t="shared" ca="1" si="72"/>
        <v>41.182715741961267</v>
      </c>
      <c r="K179" s="307">
        <f t="shared" ca="1" si="73"/>
        <v>211.23052823845293</v>
      </c>
      <c r="L179" s="304">
        <f t="shared" ca="1" si="58"/>
        <v>215.20769534516893</v>
      </c>
      <c r="M179" s="306">
        <f t="shared" ca="1" si="74"/>
        <v>1.3716204142090158</v>
      </c>
      <c r="N179" s="304">
        <f t="shared" ca="1" si="75"/>
        <v>78.588060828162412</v>
      </c>
      <c r="P179" s="310">
        <f t="shared" ca="1" si="76"/>
        <v>23</v>
      </c>
      <c r="Q179" s="304">
        <f t="shared" ca="1" si="77"/>
        <v>0</v>
      </c>
      <c r="R179" s="306">
        <f t="shared" ca="1" si="78"/>
        <v>0</v>
      </c>
      <c r="S179" s="307">
        <f t="shared" ca="1" si="79"/>
        <v>7.4799999999999969</v>
      </c>
      <c r="T179" s="304">
        <f t="shared" ca="1" si="59"/>
        <v>73.37879999999997</v>
      </c>
      <c r="U179" s="311">
        <f t="shared" ca="1" si="60"/>
        <v>0</v>
      </c>
      <c r="V179" s="306">
        <f t="shared" ca="1" si="61"/>
        <v>1.1993946914335003</v>
      </c>
      <c r="W179" s="304">
        <f t="shared" ca="1" si="62"/>
        <v>179.06373866419116</v>
      </c>
      <c r="Y179" s="314" t="str">
        <f t="shared" ca="1" si="80"/>
        <v/>
      </c>
      <c r="Z179" s="315" t="str">
        <f t="shared" ca="1" si="81"/>
        <v/>
      </c>
      <c r="AA179" s="316" t="str">
        <f t="shared" ca="1" si="82"/>
        <v/>
      </c>
      <c r="AC179" s="310" t="e">
        <f t="shared" ca="1" si="83"/>
        <v>#N/A</v>
      </c>
      <c r="AD179" s="323" t="e">
        <f t="shared" ca="1" si="84"/>
        <v>#N/A</v>
      </c>
      <c r="AE179" s="324">
        <f t="shared" ca="1" si="63"/>
        <v>211.23052823845293</v>
      </c>
      <c r="AG179" s="306">
        <f t="shared" ca="1" si="85"/>
        <v>-33.634633946152327</v>
      </c>
      <c r="AH179" s="304">
        <f t="shared" ca="1" si="86"/>
        <v>-24.018404421199104</v>
      </c>
    </row>
    <row r="180" spans="1:34" x14ac:dyDescent="0.2">
      <c r="A180" s="347">
        <f t="shared" ca="1" si="64"/>
        <v>0.01</v>
      </c>
      <c r="B180" s="304">
        <f t="shared" ca="1" si="65"/>
        <v>1.7600000000000013</v>
      </c>
      <c r="D180" s="306">
        <f t="shared" ca="1" si="66"/>
        <v>-4.7366094053986831</v>
      </c>
      <c r="E180" s="307">
        <f t="shared" ca="1" si="67"/>
        <v>-33.275727600193655</v>
      </c>
      <c r="F180" s="304">
        <f t="shared" ca="1" si="68"/>
        <v>33.611151661042513</v>
      </c>
      <c r="G180" s="306">
        <f t="shared" ca="1" si="69"/>
        <v>42.875252673081576</v>
      </c>
      <c r="H180" s="307">
        <f t="shared" ca="1" si="70"/>
        <v>212.311012490736</v>
      </c>
      <c r="I180" s="304">
        <f t="shared" ca="1" si="71"/>
        <v>216.59698362770902</v>
      </c>
      <c r="J180" s="306">
        <f t="shared" ca="1" si="72"/>
        <v>41.61170509916235</v>
      </c>
      <c r="K180" s="307">
        <f t="shared" ca="1" si="73"/>
        <v>213.35530214974031</v>
      </c>
      <c r="L180" s="304">
        <f t="shared" ca="1" si="58"/>
        <v>217.37529518477172</v>
      </c>
      <c r="M180" s="306">
        <f t="shared" ca="1" si="74"/>
        <v>1.3715307997418851</v>
      </c>
      <c r="N180" s="304">
        <f t="shared" ca="1" si="75"/>
        <v>78.582926297412513</v>
      </c>
      <c r="P180" s="310">
        <f t="shared" ca="1" si="76"/>
        <v>23</v>
      </c>
      <c r="Q180" s="304">
        <f t="shared" ca="1" si="77"/>
        <v>0</v>
      </c>
      <c r="R180" s="306">
        <f t="shared" ca="1" si="78"/>
        <v>0</v>
      </c>
      <c r="S180" s="307">
        <f t="shared" ca="1" si="79"/>
        <v>7.4799999999999969</v>
      </c>
      <c r="T180" s="304">
        <f t="shared" ca="1" si="59"/>
        <v>73.37879999999997</v>
      </c>
      <c r="U180" s="311">
        <f t="shared" ca="1" si="60"/>
        <v>0</v>
      </c>
      <c r="V180" s="306">
        <f t="shared" ca="1" si="61"/>
        <v>1.1991398455400788</v>
      </c>
      <c r="W180" s="304">
        <f t="shared" ca="1" si="62"/>
        <v>178.47228839724622</v>
      </c>
      <c r="Y180" s="314" t="str">
        <f t="shared" ca="1" si="80"/>
        <v/>
      </c>
      <c r="Z180" s="315" t="str">
        <f t="shared" ca="1" si="81"/>
        <v/>
      </c>
      <c r="AA180" s="316" t="str">
        <f t="shared" ca="1" si="82"/>
        <v/>
      </c>
      <c r="AC180" s="310" t="e">
        <f t="shared" ca="1" si="83"/>
        <v>#N/A</v>
      </c>
      <c r="AD180" s="323" t="e">
        <f t="shared" ca="1" si="84"/>
        <v>#N/A</v>
      </c>
      <c r="AE180" s="324">
        <f t="shared" ca="1" si="63"/>
        <v>213.35530214974031</v>
      </c>
      <c r="AG180" s="306">
        <f t="shared" ca="1" si="85"/>
        <v>-33.55505846095042</v>
      </c>
      <c r="AH180" s="304">
        <f t="shared" ca="1" si="86"/>
        <v>-23.939002495212733</v>
      </c>
    </row>
    <row r="181" spans="1:34" x14ac:dyDescent="0.2">
      <c r="A181" s="347">
        <f t="shared" ca="1" si="64"/>
        <v>0.01</v>
      </c>
      <c r="B181" s="304">
        <f t="shared" ca="1" si="65"/>
        <v>1.7700000000000014</v>
      </c>
      <c r="D181" s="306">
        <f t="shared" ca="1" si="66"/>
        <v>-4.7230602160112962</v>
      </c>
      <c r="E181" s="307">
        <f t="shared" ca="1" si="67"/>
        <v>-33.197796782493029</v>
      </c>
      <c r="F181" s="304">
        <f t="shared" ca="1" si="68"/>
        <v>33.532089243227496</v>
      </c>
      <c r="G181" s="306">
        <f t="shared" ca="1" si="69"/>
        <v>42.828022070921463</v>
      </c>
      <c r="H181" s="307">
        <f t="shared" ca="1" si="70"/>
        <v>211.97903452291106</v>
      </c>
      <c r="I181" s="304">
        <f t="shared" ca="1" si="71"/>
        <v>216.26222636367373</v>
      </c>
      <c r="J181" s="306">
        <f t="shared" ca="1" si="72"/>
        <v>42.040221472882365</v>
      </c>
      <c r="K181" s="307">
        <f t="shared" ca="1" si="73"/>
        <v>215.47675238480855</v>
      </c>
      <c r="L181" s="304">
        <f t="shared" ca="1" si="58"/>
        <v>219.53954322580043</v>
      </c>
      <c r="M181" s="306">
        <f t="shared" ca="1" si="74"/>
        <v>1.3714410067119327</v>
      </c>
      <c r="N181" s="304">
        <f t="shared" ca="1" si="75"/>
        <v>78.577781535766547</v>
      </c>
      <c r="P181" s="310">
        <f t="shared" ca="1" si="76"/>
        <v>23</v>
      </c>
      <c r="Q181" s="304">
        <f t="shared" ca="1" si="77"/>
        <v>0</v>
      </c>
      <c r="R181" s="306">
        <f t="shared" ca="1" si="78"/>
        <v>0</v>
      </c>
      <c r="S181" s="307">
        <f t="shared" ca="1" si="79"/>
        <v>7.4799999999999969</v>
      </c>
      <c r="T181" s="304">
        <f t="shared" ca="1" si="59"/>
        <v>73.37879999999997</v>
      </c>
      <c r="U181" s="311">
        <f t="shared" ca="1" si="60"/>
        <v>0</v>
      </c>
      <c r="V181" s="306">
        <f t="shared" ca="1" si="61"/>
        <v>1.1988854517353638</v>
      </c>
      <c r="W181" s="304">
        <f t="shared" ca="1" si="62"/>
        <v>177.88330054621588</v>
      </c>
      <c r="Y181" s="314" t="str">
        <f t="shared" ca="1" si="80"/>
        <v/>
      </c>
      <c r="Z181" s="315" t="str">
        <f t="shared" ca="1" si="81"/>
        <v/>
      </c>
      <c r="AA181" s="316" t="str">
        <f t="shared" ca="1" si="82"/>
        <v/>
      </c>
      <c r="AC181" s="310" t="e">
        <f t="shared" ca="1" si="83"/>
        <v>#N/A</v>
      </c>
      <c r="AD181" s="323" t="e">
        <f t="shared" ca="1" si="84"/>
        <v>#N/A</v>
      </c>
      <c r="AE181" s="324">
        <f t="shared" ca="1" si="63"/>
        <v>215.47675238480855</v>
      </c>
      <c r="AG181" s="306">
        <f t="shared" ca="1" si="85"/>
        <v>-33.475813587354473</v>
      </c>
      <c r="AH181" s="304">
        <f t="shared" ca="1" si="86"/>
        <v>-23.859931603909931</v>
      </c>
    </row>
    <row r="182" spans="1:34" x14ac:dyDescent="0.2">
      <c r="A182" s="347">
        <f t="shared" ca="1" si="64"/>
        <v>0.01</v>
      </c>
      <c r="B182" s="304">
        <f t="shared" ca="1" si="65"/>
        <v>1.7800000000000014</v>
      </c>
      <c r="D182" s="306">
        <f t="shared" ca="1" si="66"/>
        <v>-4.7095664535362687</v>
      </c>
      <c r="E182" s="307">
        <f t="shared" ca="1" si="67"/>
        <v>-33.120190421330108</v>
      </c>
      <c r="F182" s="304">
        <f t="shared" ca="1" si="68"/>
        <v>33.453356030829561</v>
      </c>
      <c r="G182" s="306">
        <f t="shared" ca="1" si="69"/>
        <v>42.780926406386101</v>
      </c>
      <c r="H182" s="307">
        <f t="shared" ca="1" si="70"/>
        <v>211.64783261869778</v>
      </c>
      <c r="I182" s="304">
        <f t="shared" ca="1" si="71"/>
        <v>215.92825826274091</v>
      </c>
      <c r="J182" s="306">
        <f t="shared" ca="1" si="72"/>
        <v>42.468266215268905</v>
      </c>
      <c r="K182" s="307">
        <f t="shared" ca="1" si="73"/>
        <v>217.5948867205166</v>
      </c>
      <c r="L182" s="304">
        <f t="shared" ca="1" si="58"/>
        <v>221.70044736591174</v>
      </c>
      <c r="M182" s="306">
        <f t="shared" ca="1" si="74"/>
        <v>1.3713510348155293</v>
      </c>
      <c r="N182" s="304">
        <f t="shared" ca="1" si="75"/>
        <v>78.572626525827843</v>
      </c>
      <c r="P182" s="310">
        <f t="shared" ca="1" si="76"/>
        <v>23</v>
      </c>
      <c r="Q182" s="304">
        <f t="shared" ca="1" si="77"/>
        <v>0</v>
      </c>
      <c r="R182" s="306">
        <f t="shared" ca="1" si="78"/>
        <v>0</v>
      </c>
      <c r="S182" s="307">
        <f t="shared" ca="1" si="79"/>
        <v>7.4799999999999969</v>
      </c>
      <c r="T182" s="304">
        <f t="shared" ca="1" si="59"/>
        <v>73.37879999999997</v>
      </c>
      <c r="U182" s="311">
        <f t="shared" ca="1" si="60"/>
        <v>0</v>
      </c>
      <c r="V182" s="306">
        <f t="shared" ca="1" si="61"/>
        <v>1.1986315088193096</v>
      </c>
      <c r="W182" s="304">
        <f t="shared" ca="1" si="62"/>
        <v>177.29676148344515</v>
      </c>
      <c r="Y182" s="314" t="str">
        <f t="shared" ca="1" si="80"/>
        <v/>
      </c>
      <c r="Z182" s="315" t="str">
        <f t="shared" ca="1" si="81"/>
        <v/>
      </c>
      <c r="AA182" s="316" t="str">
        <f t="shared" ca="1" si="82"/>
        <v/>
      </c>
      <c r="AC182" s="310" t="e">
        <f t="shared" ca="1" si="83"/>
        <v>#N/A</v>
      </c>
      <c r="AD182" s="323" t="e">
        <f t="shared" ca="1" si="84"/>
        <v>#N/A</v>
      </c>
      <c r="AE182" s="324">
        <f t="shared" ca="1" si="63"/>
        <v>217.5948867205166</v>
      </c>
      <c r="AG182" s="306">
        <f t="shared" ca="1" si="85"/>
        <v>-33.396897489622027</v>
      </c>
      <c r="AH182" s="304">
        <f t="shared" ca="1" si="86"/>
        <v>-23.781189912595714</v>
      </c>
    </row>
    <row r="183" spans="1:34" x14ac:dyDescent="0.2">
      <c r="A183" s="347">
        <f t="shared" ca="1" si="64"/>
        <v>0.01</v>
      </c>
      <c r="B183" s="304">
        <f t="shared" ca="1" si="65"/>
        <v>1.7900000000000014</v>
      </c>
      <c r="D183" s="306">
        <f t="shared" ca="1" si="66"/>
        <v>-4.6961278097782291</v>
      </c>
      <c r="E183" s="307">
        <f t="shared" ca="1" si="67"/>
        <v>-33.042906721056589</v>
      </c>
      <c r="F183" s="304">
        <f t="shared" ca="1" si="68"/>
        <v>33.374950201943662</v>
      </c>
      <c r="G183" s="306">
        <f t="shared" ca="1" si="69"/>
        <v>42.733965128288318</v>
      </c>
      <c r="H183" s="307">
        <f t="shared" ca="1" si="70"/>
        <v>211.31740355148722</v>
      </c>
      <c r="I183" s="304">
        <f t="shared" ca="1" si="71"/>
        <v>215.59507605538644</v>
      </c>
      <c r="J183" s="306">
        <f t="shared" ca="1" si="72"/>
        <v>42.895840672942278</v>
      </c>
      <c r="K183" s="307">
        <f t="shared" ca="1" si="73"/>
        <v>219.70971290136751</v>
      </c>
      <c r="L183" s="304">
        <f t="shared" ca="1" si="58"/>
        <v>223.85801547016311</v>
      </c>
      <c r="M183" s="306">
        <f t="shared" ca="1" si="74"/>
        <v>1.3712608837480997</v>
      </c>
      <c r="N183" s="304">
        <f t="shared" ca="1" si="75"/>
        <v>78.567461250145527</v>
      </c>
      <c r="P183" s="310">
        <f t="shared" ca="1" si="76"/>
        <v>23</v>
      </c>
      <c r="Q183" s="304">
        <f t="shared" ca="1" si="77"/>
        <v>0</v>
      </c>
      <c r="R183" s="306">
        <f t="shared" ca="1" si="78"/>
        <v>0</v>
      </c>
      <c r="S183" s="307">
        <f t="shared" ca="1" si="79"/>
        <v>7.4799999999999969</v>
      </c>
      <c r="T183" s="304">
        <f t="shared" ca="1" si="59"/>
        <v>73.37879999999997</v>
      </c>
      <c r="U183" s="311">
        <f t="shared" ca="1" si="60"/>
        <v>0</v>
      </c>
      <c r="V183" s="306">
        <f t="shared" ca="1" si="61"/>
        <v>1.1983780155970842</v>
      </c>
      <c r="W183" s="304">
        <f t="shared" ca="1" si="62"/>
        <v>176.71265767633591</v>
      </c>
      <c r="Y183" s="314" t="str">
        <f t="shared" ca="1" si="80"/>
        <v/>
      </c>
      <c r="Z183" s="315" t="str">
        <f t="shared" ca="1" si="81"/>
        <v/>
      </c>
      <c r="AA183" s="316" t="str">
        <f t="shared" ca="1" si="82"/>
        <v/>
      </c>
      <c r="AC183" s="310" t="e">
        <f t="shared" ca="1" si="83"/>
        <v>#N/A</v>
      </c>
      <c r="AD183" s="323" t="e">
        <f t="shared" ca="1" si="84"/>
        <v>#N/A</v>
      </c>
      <c r="AE183" s="324">
        <f t="shared" ca="1" si="63"/>
        <v>219.70971290136751</v>
      </c>
      <c r="AG183" s="306">
        <f t="shared" ca="1" si="85"/>
        <v>-33.31830834482281</v>
      </c>
      <c r="AH183" s="304">
        <f t="shared" ca="1" si="86"/>
        <v>-23.702775599391074</v>
      </c>
    </row>
    <row r="184" spans="1:34" x14ac:dyDescent="0.2">
      <c r="A184" s="347">
        <f t="shared" ca="1" si="64"/>
        <v>0.01</v>
      </c>
      <c r="B184" s="304">
        <f t="shared" ca="1" si="65"/>
        <v>1.8000000000000014</v>
      </c>
      <c r="D184" s="306">
        <f t="shared" ca="1" si="66"/>
        <v>-4.6827439786903478</v>
      </c>
      <c r="E184" s="307">
        <f t="shared" ca="1" si="67"/>
        <v>-32.965943898549277</v>
      </c>
      <c r="F184" s="304">
        <f t="shared" ca="1" si="68"/>
        <v>33.296869947372819</v>
      </c>
      <c r="G184" s="306">
        <f t="shared" ca="1" si="69"/>
        <v>42.687137688501416</v>
      </c>
      <c r="H184" s="307">
        <f t="shared" ca="1" si="70"/>
        <v>210.98774411250173</v>
      </c>
      <c r="I184" s="304">
        <f t="shared" ca="1" si="71"/>
        <v>215.26267649018857</v>
      </c>
      <c r="J184" s="306">
        <f t="shared" ca="1" si="72"/>
        <v>43.322946187026226</v>
      </c>
      <c r="K184" s="307">
        <f t="shared" ca="1" si="73"/>
        <v>221.82123863968746</v>
      </c>
      <c r="L184" s="304">
        <f t="shared" ca="1" si="58"/>
        <v>226.01225537118367</v>
      </c>
      <c r="M184" s="306">
        <f t="shared" ca="1" si="74"/>
        <v>1.3711705532041218</v>
      </c>
      <c r="N184" s="304">
        <f t="shared" ca="1" si="75"/>
        <v>78.562285691214484</v>
      </c>
      <c r="P184" s="310">
        <f t="shared" ca="1" si="76"/>
        <v>23</v>
      </c>
      <c r="Q184" s="304">
        <f t="shared" ca="1" si="77"/>
        <v>0</v>
      </c>
      <c r="R184" s="306">
        <f t="shared" ca="1" si="78"/>
        <v>0</v>
      </c>
      <c r="S184" s="307">
        <f t="shared" ca="1" si="79"/>
        <v>7.4799999999999969</v>
      </c>
      <c r="T184" s="304">
        <f t="shared" ca="1" si="59"/>
        <v>73.37879999999997</v>
      </c>
      <c r="U184" s="311">
        <f t="shared" ca="1" si="60"/>
        <v>0</v>
      </c>
      <c r="V184" s="306">
        <f t="shared" ca="1" si="61"/>
        <v>1.1981249708790427</v>
      </c>
      <c r="W184" s="304">
        <f t="shared" ca="1" si="62"/>
        <v>176.13097568654993</v>
      </c>
      <c r="Y184" s="314" t="str">
        <f t="shared" ca="1" si="80"/>
        <v/>
      </c>
      <c r="Z184" s="315" t="str">
        <f t="shared" ca="1" si="81"/>
        <v/>
      </c>
      <c r="AA184" s="316" t="str">
        <f t="shared" ca="1" si="82"/>
        <v/>
      </c>
      <c r="AC184" s="310" t="e">
        <f t="shared" ca="1" si="83"/>
        <v>#N/A</v>
      </c>
      <c r="AD184" s="323" t="e">
        <f t="shared" ca="1" si="84"/>
        <v>#N/A</v>
      </c>
      <c r="AE184" s="324">
        <f t="shared" ca="1" si="63"/>
        <v>221.82123863968746</v>
      </c>
      <c r="AG184" s="306">
        <f t="shared" ca="1" si="85"/>
        <v>-33.240044342730876</v>
      </c>
      <c r="AH184" s="304">
        <f t="shared" ca="1" si="86"/>
        <v>-23.62468685512513</v>
      </c>
    </row>
    <row r="185" spans="1:34" x14ac:dyDescent="0.2">
      <c r="A185" s="347">
        <f t="shared" ca="1" si="64"/>
        <v>0.01</v>
      </c>
      <c r="B185" s="304">
        <f t="shared" ca="1" si="65"/>
        <v>1.8100000000000014</v>
      </c>
      <c r="D185" s="306">
        <f t="shared" ca="1" si="66"/>
        <v>-4.6694146563562784</v>
      </c>
      <c r="E185" s="307">
        <f t="shared" ca="1" si="67"/>
        <v>-32.889300183105107</v>
      </c>
      <c r="F185" s="304">
        <f t="shared" ca="1" si="68"/>
        <v>33.219113470521641</v>
      </c>
      <c r="G185" s="306">
        <f t="shared" ca="1" si="69"/>
        <v>42.640443541937856</v>
      </c>
      <c r="H185" s="307">
        <f t="shared" ca="1" si="70"/>
        <v>210.65885111067067</v>
      </c>
      <c r="I185" s="304">
        <f t="shared" ca="1" si="71"/>
        <v>214.93105633370183</v>
      </c>
      <c r="J185" s="306">
        <f t="shared" ca="1" si="72"/>
        <v>43.74958409317842</v>
      </c>
      <c r="K185" s="307">
        <f t="shared" ca="1" si="73"/>
        <v>223.92947161580332</v>
      </c>
      <c r="L185" s="304">
        <f t="shared" ca="1" si="58"/>
        <v>228.16317486934423</v>
      </c>
      <c r="M185" s="306">
        <f t="shared" ca="1" si="74"/>
        <v>1.3710800428771228</v>
      </c>
      <c r="N185" s="304">
        <f t="shared" ca="1" si="75"/>
        <v>78.557099831475085</v>
      </c>
      <c r="P185" s="310">
        <f t="shared" ca="1" si="76"/>
        <v>23</v>
      </c>
      <c r="Q185" s="304">
        <f t="shared" ca="1" si="77"/>
        <v>0</v>
      </c>
      <c r="R185" s="306">
        <f t="shared" ca="1" si="78"/>
        <v>0</v>
      </c>
      <c r="S185" s="307">
        <f t="shared" ca="1" si="79"/>
        <v>7.4799999999999969</v>
      </c>
      <c r="T185" s="304">
        <f t="shared" ca="1" si="59"/>
        <v>73.37879999999997</v>
      </c>
      <c r="U185" s="311">
        <f t="shared" ca="1" si="60"/>
        <v>0</v>
      </c>
      <c r="V185" s="306">
        <f t="shared" ca="1" si="61"/>
        <v>1.1978723734806971</v>
      </c>
      <c r="W185" s="304">
        <f t="shared" ca="1" si="62"/>
        <v>175.5517021692194</v>
      </c>
      <c r="Y185" s="314" t="str">
        <f t="shared" ca="1" si="80"/>
        <v/>
      </c>
      <c r="Z185" s="315" t="str">
        <f t="shared" ca="1" si="81"/>
        <v/>
      </c>
      <c r="AA185" s="316" t="str">
        <f t="shared" ca="1" si="82"/>
        <v/>
      </c>
      <c r="AC185" s="310" t="e">
        <f t="shared" ca="1" si="83"/>
        <v>#N/A</v>
      </c>
      <c r="AD185" s="323" t="e">
        <f t="shared" ca="1" si="84"/>
        <v>#N/A</v>
      </c>
      <c r="AE185" s="324">
        <f t="shared" ca="1" si="63"/>
        <v>223.92947161580332</v>
      </c>
      <c r="AG185" s="306">
        <f t="shared" ca="1" si="85"/>
        <v>-33.162103685718094</v>
      </c>
      <c r="AH185" s="304">
        <f t="shared" ca="1" si="86"/>
        <v>-23.54692188322861</v>
      </c>
    </row>
    <row r="186" spans="1:34" x14ac:dyDescent="0.2">
      <c r="A186" s="347">
        <f t="shared" ca="1" si="64"/>
        <v>0.01</v>
      </c>
      <c r="B186" s="304">
        <f t="shared" ca="1" si="65"/>
        <v>1.8200000000000014</v>
      </c>
      <c r="D186" s="306">
        <f t="shared" ca="1" si="66"/>
        <v>-4.6561395409723358</v>
      </c>
      <c r="E186" s="307">
        <f t="shared" ca="1" si="67"/>
        <v>-32.812973816337106</v>
      </c>
      <c r="F186" s="304">
        <f t="shared" ca="1" si="68"/>
        <v>33.141678987290767</v>
      </c>
      <c r="G186" s="306">
        <f t="shared" ca="1" si="69"/>
        <v>42.593882146528131</v>
      </c>
      <c r="H186" s="307">
        <f t="shared" ca="1" si="70"/>
        <v>210.3307213725073</v>
      </c>
      <c r="I186" s="304">
        <f t="shared" ca="1" si="71"/>
        <v>214.60021237033206</v>
      </c>
      <c r="J186" s="306">
        <f t="shared" ca="1" si="72"/>
        <v>44.175755721620753</v>
      </c>
      <c r="K186" s="307">
        <f t="shared" ca="1" si="73"/>
        <v>226.03441947821921</v>
      </c>
      <c r="L186" s="304">
        <f t="shared" ca="1" si="58"/>
        <v>230.31078173292684</v>
      </c>
      <c r="M186" s="306">
        <f t="shared" ca="1" si="74"/>
        <v>1.3709893524596768</v>
      </c>
      <c r="N186" s="304">
        <f t="shared" ca="1" si="75"/>
        <v>78.551903653313147</v>
      </c>
      <c r="P186" s="310">
        <f t="shared" ca="1" si="76"/>
        <v>23</v>
      </c>
      <c r="Q186" s="304">
        <f t="shared" ca="1" si="77"/>
        <v>0</v>
      </c>
      <c r="R186" s="306">
        <f t="shared" ca="1" si="78"/>
        <v>0</v>
      </c>
      <c r="S186" s="307">
        <f t="shared" ca="1" si="79"/>
        <v>7.4799999999999969</v>
      </c>
      <c r="T186" s="304">
        <f t="shared" ca="1" si="59"/>
        <v>73.37879999999997</v>
      </c>
      <c r="U186" s="311">
        <f t="shared" ca="1" si="60"/>
        <v>0</v>
      </c>
      <c r="V186" s="306">
        <f t="shared" ca="1" si="61"/>
        <v>1.1976202222226853</v>
      </c>
      <c r="W186" s="304">
        <f t="shared" ca="1" si="62"/>
        <v>174.97482387216394</v>
      </c>
      <c r="Y186" s="314" t="str">
        <f t="shared" ca="1" si="80"/>
        <v/>
      </c>
      <c r="Z186" s="315" t="str">
        <f t="shared" ca="1" si="81"/>
        <v/>
      </c>
      <c r="AA186" s="316" t="str">
        <f t="shared" ca="1" si="82"/>
        <v/>
      </c>
      <c r="AC186" s="310" t="e">
        <f t="shared" ca="1" si="83"/>
        <v>#N/A</v>
      </c>
      <c r="AD186" s="323" t="e">
        <f t="shared" ca="1" si="84"/>
        <v>#N/A</v>
      </c>
      <c r="AE186" s="324">
        <f t="shared" ca="1" si="63"/>
        <v>226.03441947821921</v>
      </c>
      <c r="AG186" s="306">
        <f t="shared" ca="1" si="85"/>
        <v>-33.084484588648543</v>
      </c>
      <c r="AH186" s="304">
        <f t="shared" ca="1" si="86"/>
        <v>-23.469478899628271</v>
      </c>
    </row>
    <row r="187" spans="1:34" x14ac:dyDescent="0.2">
      <c r="A187" s="347">
        <f t="shared" ca="1" si="64"/>
        <v>0.01</v>
      </c>
      <c r="B187" s="304">
        <f t="shared" ca="1" si="65"/>
        <v>1.8300000000000014</v>
      </c>
      <c r="D187" s="306">
        <f t="shared" ca="1" si="66"/>
        <v>-4.6429183328297778</v>
      </c>
      <c r="E187" s="307">
        <f t="shared" ca="1" si="67"/>
        <v>-32.736963052071211</v>
      </c>
      <c r="F187" s="304">
        <f t="shared" ca="1" si="68"/>
        <v>33.064564725972161</v>
      </c>
      <c r="G187" s="306">
        <f t="shared" ca="1" si="69"/>
        <v>42.547452963199831</v>
      </c>
      <c r="H187" s="307">
        <f t="shared" ca="1" si="70"/>
        <v>210.00335174198659</v>
      </c>
      <c r="I187" s="304">
        <f t="shared" ca="1" si="71"/>
        <v>214.27014140221274</v>
      </c>
      <c r="J187" s="306">
        <f t="shared" ca="1" si="72"/>
        <v>44.601462397169392</v>
      </c>
      <c r="K187" s="307">
        <f t="shared" ca="1" si="73"/>
        <v>228.13608984379167</v>
      </c>
      <c r="L187" s="304">
        <f t="shared" ca="1" si="58"/>
        <v>232.45508369829363</v>
      </c>
      <c r="M187" s="306">
        <f t="shared" ca="1" si="74"/>
        <v>1.3708984816434009</v>
      </c>
      <c r="N187" s="304">
        <f t="shared" ca="1" si="75"/>
        <v>78.546697139059631</v>
      </c>
      <c r="P187" s="310">
        <f t="shared" ca="1" si="76"/>
        <v>23</v>
      </c>
      <c r="Q187" s="304">
        <f t="shared" ca="1" si="77"/>
        <v>0</v>
      </c>
      <c r="R187" s="306">
        <f t="shared" ca="1" si="78"/>
        <v>0</v>
      </c>
      <c r="S187" s="307">
        <f t="shared" ca="1" si="79"/>
        <v>7.4799999999999969</v>
      </c>
      <c r="T187" s="304">
        <f t="shared" ca="1" si="59"/>
        <v>73.37879999999997</v>
      </c>
      <c r="U187" s="311">
        <f t="shared" ca="1" si="60"/>
        <v>0</v>
      </c>
      <c r="V187" s="306">
        <f t="shared" ca="1" si="61"/>
        <v>1.1973685159307426</v>
      </c>
      <c r="W187" s="304">
        <f t="shared" ca="1" si="62"/>
        <v>174.40032763511712</v>
      </c>
      <c r="Y187" s="314" t="str">
        <f t="shared" ca="1" si="80"/>
        <v/>
      </c>
      <c r="Z187" s="315" t="str">
        <f t="shared" ca="1" si="81"/>
        <v/>
      </c>
      <c r="AA187" s="316" t="str">
        <f t="shared" ca="1" si="82"/>
        <v/>
      </c>
      <c r="AC187" s="310" t="e">
        <f t="shared" ca="1" si="83"/>
        <v>#N/A</v>
      </c>
      <c r="AD187" s="323" t="e">
        <f t="shared" ca="1" si="84"/>
        <v>#N/A</v>
      </c>
      <c r="AE187" s="324">
        <f t="shared" ca="1" si="63"/>
        <v>228.13608984379167</v>
      </c>
      <c r="AG187" s="306">
        <f t="shared" ca="1" si="85"/>
        <v>-33.007185278773832</v>
      </c>
      <c r="AH187" s="304">
        <f t="shared" ca="1" si="86"/>
        <v>-23.392356132642249</v>
      </c>
    </row>
    <row r="188" spans="1:34" x14ac:dyDescent="0.2">
      <c r="A188" s="347">
        <f t="shared" ca="1" si="64"/>
        <v>0.01</v>
      </c>
      <c r="B188" s="304">
        <f t="shared" ca="1" si="65"/>
        <v>1.8400000000000014</v>
      </c>
      <c r="D188" s="306">
        <f t="shared" ca="1" si="66"/>
        <v>-4.6297507342973514</v>
      </c>
      <c r="E188" s="307">
        <f t="shared" ca="1" si="67"/>
        <v>-32.661266156244366</v>
      </c>
      <c r="F188" s="304">
        <f t="shared" ca="1" si="68"/>
        <v>32.987768927145716</v>
      </c>
      <c r="G188" s="306">
        <f t="shared" ca="1" si="69"/>
        <v>42.50115545585686</v>
      </c>
      <c r="H188" s="307">
        <f t="shared" ca="1" si="70"/>
        <v>209.67673908042414</v>
      </c>
      <c r="I188" s="304">
        <f t="shared" ca="1" si="71"/>
        <v>213.94084024908187</v>
      </c>
      <c r="J188" s="306">
        <f t="shared" ca="1" si="72"/>
        <v>45.026705439264674</v>
      </c>
      <c r="K188" s="307">
        <f t="shared" ca="1" si="73"/>
        <v>230.23449029790373</v>
      </c>
      <c r="L188" s="304">
        <f t="shared" ca="1" si="58"/>
        <v>234.59608847005492</v>
      </c>
      <c r="M188" s="306">
        <f t="shared" ca="1" si="74"/>
        <v>1.3708074301189537</v>
      </c>
      <c r="N188" s="304">
        <f t="shared" ca="1" si="75"/>
        <v>78.541480270990576</v>
      </c>
      <c r="P188" s="310">
        <f t="shared" ca="1" si="76"/>
        <v>23</v>
      </c>
      <c r="Q188" s="304">
        <f t="shared" ca="1" si="77"/>
        <v>0</v>
      </c>
      <c r="R188" s="306">
        <f t="shared" ca="1" si="78"/>
        <v>0</v>
      </c>
      <c r="S188" s="307">
        <f t="shared" ca="1" si="79"/>
        <v>7.4799999999999969</v>
      </c>
      <c r="T188" s="304">
        <f t="shared" ca="1" si="59"/>
        <v>73.37879999999997</v>
      </c>
      <c r="U188" s="311">
        <f t="shared" ca="1" si="60"/>
        <v>0</v>
      </c>
      <c r="V188" s="306">
        <f t="shared" ca="1" si="61"/>
        <v>1.1971172534356742</v>
      </c>
      <c r="W188" s="304">
        <f t="shared" ca="1" si="62"/>
        <v>173.82820038895912</v>
      </c>
      <c r="Y188" s="314" t="str">
        <f t="shared" ca="1" si="80"/>
        <v/>
      </c>
      <c r="Z188" s="315" t="str">
        <f t="shared" ca="1" si="81"/>
        <v/>
      </c>
      <c r="AA188" s="316" t="str">
        <f t="shared" ca="1" si="82"/>
        <v/>
      </c>
      <c r="AC188" s="310" t="e">
        <f t="shared" ca="1" si="83"/>
        <v>#N/A</v>
      </c>
      <c r="AD188" s="323" t="e">
        <f t="shared" ca="1" si="84"/>
        <v>#N/A</v>
      </c>
      <c r="AE188" s="324">
        <f t="shared" ca="1" si="63"/>
        <v>230.23449029790373</v>
      </c>
      <c r="AG188" s="306">
        <f t="shared" ca="1" si="85"/>
        <v>-32.930203995629682</v>
      </c>
      <c r="AH188" s="304">
        <f t="shared" ca="1" si="86"/>
        <v>-23.315551822876632</v>
      </c>
    </row>
    <row r="189" spans="1:34" x14ac:dyDescent="0.2">
      <c r="A189" s="347">
        <f t="shared" ca="1" si="64"/>
        <v>0.01</v>
      </c>
      <c r="B189" s="304">
        <f t="shared" ca="1" si="65"/>
        <v>1.8500000000000014</v>
      </c>
      <c r="D189" s="306">
        <f t="shared" ca="1" si="66"/>
        <v>-4.6166364498039121</v>
      </c>
      <c r="E189" s="307">
        <f t="shared" ca="1" si="67"/>
        <v>-32.585881406803388</v>
      </c>
      <c r="F189" s="304">
        <f t="shared" ca="1" si="68"/>
        <v>32.911289843576668</v>
      </c>
      <c r="G189" s="306">
        <f t="shared" ca="1" si="69"/>
        <v>42.454989091358819</v>
      </c>
      <c r="H189" s="307">
        <f t="shared" ca="1" si="70"/>
        <v>209.35088026635611</v>
      </c>
      <c r="I189" s="304">
        <f t="shared" ca="1" si="71"/>
        <v>213.61230574816042</v>
      </c>
      <c r="J189" s="306">
        <f t="shared" ca="1" si="72"/>
        <v>45.451486162000755</v>
      </c>
      <c r="K189" s="307">
        <f t="shared" ca="1" si="73"/>
        <v>232.32962839463764</v>
      </c>
      <c r="L189" s="304">
        <f t="shared" ca="1" si="58"/>
        <v>236.73380372123657</v>
      </c>
      <c r="M189" s="306">
        <f t="shared" ca="1" si="74"/>
        <v>1.3707161975760311</v>
      </c>
      <c r="N189" s="304">
        <f t="shared" ca="1" si="75"/>
        <v>78.536253031326865</v>
      </c>
      <c r="P189" s="310">
        <f t="shared" ca="1" si="76"/>
        <v>23</v>
      </c>
      <c r="Q189" s="304">
        <f t="shared" ca="1" si="77"/>
        <v>0</v>
      </c>
      <c r="R189" s="306">
        <f t="shared" ca="1" si="78"/>
        <v>0</v>
      </c>
      <c r="S189" s="307">
        <f t="shared" ca="1" si="79"/>
        <v>7.4799999999999969</v>
      </c>
      <c r="T189" s="304">
        <f t="shared" ca="1" si="59"/>
        <v>73.37879999999997</v>
      </c>
      <c r="U189" s="311">
        <f t="shared" ca="1" si="60"/>
        <v>0</v>
      </c>
      <c r="V189" s="306">
        <f t="shared" ca="1" si="61"/>
        <v>1.1968664335733235</v>
      </c>
      <c r="W189" s="304">
        <f t="shared" ca="1" si="62"/>
        <v>173.25842915495753</v>
      </c>
      <c r="Y189" s="314" t="str">
        <f t="shared" ca="1" si="80"/>
        <v/>
      </c>
      <c r="Z189" s="315" t="str">
        <f t="shared" ca="1" si="81"/>
        <v/>
      </c>
      <c r="AA189" s="316" t="str">
        <f t="shared" ca="1" si="82"/>
        <v/>
      </c>
      <c r="AC189" s="310" t="e">
        <f t="shared" ca="1" si="83"/>
        <v>#N/A</v>
      </c>
      <c r="AD189" s="323" t="e">
        <f t="shared" ca="1" si="84"/>
        <v>#N/A</v>
      </c>
      <c r="AE189" s="324">
        <f t="shared" ca="1" si="63"/>
        <v>232.32962839463764</v>
      </c>
      <c r="AG189" s="306">
        <f t="shared" ca="1" si="85"/>
        <v>-32.853538990933323</v>
      </c>
      <c r="AH189" s="304">
        <f t="shared" ca="1" si="86"/>
        <v>-23.239064223122888</v>
      </c>
    </row>
    <row r="190" spans="1:34" x14ac:dyDescent="0.2">
      <c r="A190" s="347">
        <f t="shared" ca="1" si="64"/>
        <v>0.01</v>
      </c>
      <c r="B190" s="304">
        <f t="shared" ca="1" si="65"/>
        <v>1.8600000000000014</v>
      </c>
      <c r="D190" s="306">
        <f t="shared" ca="1" si="66"/>
        <v>-4.6035751858212857</v>
      </c>
      <c r="E190" s="307">
        <f t="shared" ca="1" si="67"/>
        <v>-32.510807093604967</v>
      </c>
      <c r="F190" s="304">
        <f t="shared" ca="1" si="68"/>
        <v>32.835125740114115</v>
      </c>
      <c r="G190" s="306">
        <f t="shared" ca="1" si="69"/>
        <v>42.408953339500606</v>
      </c>
      <c r="H190" s="307">
        <f t="shared" ca="1" si="70"/>
        <v>209.02577219542007</v>
      </c>
      <c r="I190" s="304">
        <f t="shared" ca="1" si="71"/>
        <v>213.28453475403131</v>
      </c>
      <c r="J190" s="306">
        <f t="shared" ca="1" si="72"/>
        <v>45.875805874155056</v>
      </c>
      <c r="K190" s="307">
        <f t="shared" ca="1" si="73"/>
        <v>234.42151165694651</v>
      </c>
      <c r="L190" s="304">
        <f t="shared" ca="1" si="58"/>
        <v>238.86823709344668</v>
      </c>
      <c r="M190" s="306">
        <f t="shared" ca="1" si="74"/>
        <v>1.3706247837033645</v>
      </c>
      <c r="N190" s="304">
        <f t="shared" ca="1" si="75"/>
        <v>78.531015402234118</v>
      </c>
      <c r="P190" s="310">
        <f t="shared" ca="1" si="76"/>
        <v>23</v>
      </c>
      <c r="Q190" s="304">
        <f t="shared" ca="1" si="77"/>
        <v>0</v>
      </c>
      <c r="R190" s="306">
        <f t="shared" ca="1" si="78"/>
        <v>0</v>
      </c>
      <c r="S190" s="307">
        <f t="shared" ca="1" si="79"/>
        <v>7.4799999999999969</v>
      </c>
      <c r="T190" s="304">
        <f t="shared" ca="1" si="59"/>
        <v>73.37879999999997</v>
      </c>
      <c r="U190" s="311">
        <f t="shared" ca="1" si="60"/>
        <v>0</v>
      </c>
      <c r="V190" s="306">
        <f t="shared" ca="1" si="61"/>
        <v>1.1966160551845455</v>
      </c>
      <c r="W190" s="304">
        <f t="shared" ca="1" si="62"/>
        <v>172.69100104401517</v>
      </c>
      <c r="Y190" s="314" t="str">
        <f t="shared" ca="1" si="80"/>
        <v/>
      </c>
      <c r="Z190" s="315" t="str">
        <f t="shared" ca="1" si="81"/>
        <v/>
      </c>
      <c r="AA190" s="316" t="str">
        <f t="shared" ca="1" si="82"/>
        <v/>
      </c>
      <c r="AC190" s="310" t="e">
        <f t="shared" ca="1" si="83"/>
        <v>#N/A</v>
      </c>
      <c r="AD190" s="323" t="e">
        <f t="shared" ca="1" si="84"/>
        <v>#N/A</v>
      </c>
      <c r="AE190" s="324">
        <f t="shared" ca="1" si="63"/>
        <v>234.42151165694651</v>
      </c>
      <c r="AG190" s="306">
        <f t="shared" ca="1" si="85"/>
        <v>-32.777188528481972</v>
      </c>
      <c r="AH190" s="304">
        <f t="shared" ca="1" si="86"/>
        <v>-23.162891598256362</v>
      </c>
    </row>
    <row r="191" spans="1:34" x14ac:dyDescent="0.2">
      <c r="A191" s="347">
        <f t="shared" ca="1" si="64"/>
        <v>0.01</v>
      </c>
      <c r="B191" s="304">
        <f t="shared" ca="1" si="65"/>
        <v>1.8700000000000014</v>
      </c>
      <c r="D191" s="306">
        <f t="shared" ca="1" si="66"/>
        <v>-4.5905666508472542</v>
      </c>
      <c r="E191" s="307">
        <f t="shared" ca="1" si="67"/>
        <v>-32.436041518316557</v>
      </c>
      <c r="F191" s="304">
        <f t="shared" ca="1" si="68"/>
        <v>32.759274893590465</v>
      </c>
      <c r="G191" s="306">
        <f t="shared" ca="1" si="69"/>
        <v>42.363047672992131</v>
      </c>
      <c r="H191" s="307">
        <f t="shared" ca="1" si="70"/>
        <v>208.7014117802369</v>
      </c>
      <c r="I191" s="304">
        <f t="shared" ca="1" si="71"/>
        <v>212.95752413851972</v>
      </c>
      <c r="J191" s="306">
        <f t="shared" ca="1" si="72"/>
        <v>46.299665879217521</v>
      </c>
      <c r="K191" s="307">
        <f t="shared" ca="1" si="73"/>
        <v>236.51014757682478</v>
      </c>
      <c r="L191" s="304">
        <f t="shared" ca="1" si="58"/>
        <v>240.99939619704156</v>
      </c>
      <c r="M191" s="306">
        <f t="shared" ca="1" si="74"/>
        <v>1.3705331881887168</v>
      </c>
      <c r="N191" s="304">
        <f t="shared" ca="1" si="75"/>
        <v>78.525767365822475</v>
      </c>
      <c r="P191" s="310">
        <f t="shared" ca="1" si="76"/>
        <v>23</v>
      </c>
      <c r="Q191" s="304">
        <f t="shared" ca="1" si="77"/>
        <v>0</v>
      </c>
      <c r="R191" s="306">
        <f t="shared" ca="1" si="78"/>
        <v>0</v>
      </c>
      <c r="S191" s="307">
        <f t="shared" ca="1" si="79"/>
        <v>7.4799999999999969</v>
      </c>
      <c r="T191" s="304">
        <f t="shared" ca="1" si="59"/>
        <v>73.37879999999997</v>
      </c>
      <c r="U191" s="311">
        <f t="shared" ca="1" si="60"/>
        <v>0</v>
      </c>
      <c r="V191" s="306">
        <f t="shared" ca="1" si="61"/>
        <v>1.1963661171151785</v>
      </c>
      <c r="W191" s="304">
        <f t="shared" ca="1" si="62"/>
        <v>172.12590325592572</v>
      </c>
      <c r="Y191" s="314" t="str">
        <f t="shared" ca="1" si="80"/>
        <v/>
      </c>
      <c r="Z191" s="315" t="str">
        <f t="shared" ca="1" si="81"/>
        <v/>
      </c>
      <c r="AA191" s="316" t="str">
        <f t="shared" ca="1" si="82"/>
        <v/>
      </c>
      <c r="AC191" s="310" t="e">
        <f t="shared" ca="1" si="83"/>
        <v>#N/A</v>
      </c>
      <c r="AD191" s="323" t="e">
        <f t="shared" ca="1" si="84"/>
        <v>#N/A</v>
      </c>
      <c r="AE191" s="324">
        <f t="shared" ca="1" si="63"/>
        <v>236.51014757682478</v>
      </c>
      <c r="AG191" s="306">
        <f t="shared" ca="1" si="85"/>
        <v>-32.701150884052289</v>
      </c>
      <c r="AH191" s="304">
        <f t="shared" ca="1" si="86"/>
        <v>-23.087032225135726</v>
      </c>
    </row>
    <row r="192" spans="1:34" x14ac:dyDescent="0.2">
      <c r="A192" s="347">
        <f t="shared" ca="1" si="64"/>
        <v>0.01</v>
      </c>
      <c r="B192" s="304">
        <f t="shared" ca="1" si="65"/>
        <v>1.8800000000000014</v>
      </c>
      <c r="D192" s="306">
        <f t="shared" ca="1" si="66"/>
        <v>-4.5776105553887314</v>
      </c>
      <c r="E192" s="307">
        <f t="shared" ca="1" si="67"/>
        <v>-32.361582994318233</v>
      </c>
      <c r="F192" s="304">
        <f t="shared" ca="1" si="68"/>
        <v>32.683735592721852</v>
      </c>
      <c r="G192" s="306">
        <f t="shared" ca="1" si="69"/>
        <v>42.317271567438247</v>
      </c>
      <c r="H192" s="307">
        <f t="shared" ca="1" si="70"/>
        <v>208.37779595029372</v>
      </c>
      <c r="I192" s="304">
        <f t="shared" ca="1" si="71"/>
        <v>212.63127079057435</v>
      </c>
      <c r="J192" s="306">
        <f t="shared" ca="1" si="72"/>
        <v>46.723067475419676</v>
      </c>
      <c r="K192" s="307">
        <f t="shared" ca="1" si="73"/>
        <v>238.59554361547742</v>
      </c>
      <c r="L192" s="304">
        <f t="shared" ca="1" si="58"/>
        <v>243.12728861129065</v>
      </c>
      <c r="M192" s="306">
        <f t="shared" ca="1" si="74"/>
        <v>1.3704414107188803</v>
      </c>
      <c r="N192" s="304">
        <f t="shared" ca="1" si="75"/>
        <v>78.520508904146453</v>
      </c>
      <c r="P192" s="310">
        <f t="shared" ca="1" si="76"/>
        <v>23</v>
      </c>
      <c r="Q192" s="304">
        <f t="shared" ca="1" si="77"/>
        <v>0</v>
      </c>
      <c r="R192" s="306">
        <f t="shared" ca="1" si="78"/>
        <v>0</v>
      </c>
      <c r="S192" s="307">
        <f t="shared" ca="1" si="79"/>
        <v>7.4799999999999969</v>
      </c>
      <c r="T192" s="304">
        <f t="shared" ca="1" si="59"/>
        <v>73.37879999999997</v>
      </c>
      <c r="U192" s="311">
        <f t="shared" ca="1" si="60"/>
        <v>0</v>
      </c>
      <c r="V192" s="306">
        <f t="shared" ca="1" si="61"/>
        <v>1.1961166182160143</v>
      </c>
      <c r="W192" s="304">
        <f t="shared" ca="1" si="62"/>
        <v>171.56312307863621</v>
      </c>
      <c r="Y192" s="314" t="str">
        <f t="shared" ca="1" si="80"/>
        <v/>
      </c>
      <c r="Z192" s="315" t="str">
        <f t="shared" ca="1" si="81"/>
        <v/>
      </c>
      <c r="AA192" s="316" t="str">
        <f t="shared" ca="1" si="82"/>
        <v/>
      </c>
      <c r="AC192" s="310" t="e">
        <f t="shared" ca="1" si="83"/>
        <v>#N/A</v>
      </c>
      <c r="AD192" s="323" t="e">
        <f t="shared" ca="1" si="84"/>
        <v>#N/A</v>
      </c>
      <c r="AE192" s="324">
        <f t="shared" ca="1" si="63"/>
        <v>238.59554361547742</v>
      </c>
      <c r="AG192" s="306">
        <f t="shared" ca="1" si="85"/>
        <v>-32.625424345300814</v>
      </c>
      <c r="AH192" s="304">
        <f t="shared" ca="1" si="86"/>
        <v>-23.011484392503448</v>
      </c>
    </row>
    <row r="193" spans="1:34" x14ac:dyDescent="0.2">
      <c r="A193" s="347">
        <f t="shared" ca="1" si="64"/>
        <v>0.01</v>
      </c>
      <c r="B193" s="304">
        <f t="shared" ca="1" si="65"/>
        <v>1.8900000000000015</v>
      </c>
      <c r="D193" s="306">
        <f t="shared" ca="1" si="66"/>
        <v>-4.5647066119450912</v>
      </c>
      <c r="E193" s="307">
        <f t="shared" ca="1" si="67"/>
        <v>-32.28742984660559</v>
      </c>
      <c r="F193" s="304">
        <f t="shared" ca="1" si="68"/>
        <v>32.608506138009645</v>
      </c>
      <c r="G193" s="306">
        <f t="shared" ca="1" si="69"/>
        <v>42.271624501318797</v>
      </c>
      <c r="H193" s="307">
        <f t="shared" ca="1" si="70"/>
        <v>208.05492165182767</v>
      </c>
      <c r="I193" s="304">
        <f t="shared" ca="1" si="71"/>
        <v>212.30577161614954</v>
      </c>
      <c r="J193" s="306">
        <f t="shared" ca="1" si="72"/>
        <v>47.146011955763463</v>
      </c>
      <c r="K193" s="307">
        <f t="shared" ca="1" si="73"/>
        <v>240.67770720348804</v>
      </c>
      <c r="L193" s="304">
        <f t="shared" ca="1" si="58"/>
        <v>245.25192188454082</v>
      </c>
      <c r="M193" s="306">
        <f t="shared" ca="1" si="74"/>
        <v>1.3703494509796728</v>
      </c>
      <c r="N193" s="304">
        <f t="shared" ca="1" si="75"/>
        <v>78.515239999204738</v>
      </c>
      <c r="P193" s="310">
        <f t="shared" ca="1" si="76"/>
        <v>23</v>
      </c>
      <c r="Q193" s="304">
        <f t="shared" ca="1" si="77"/>
        <v>0</v>
      </c>
      <c r="R193" s="306">
        <f t="shared" ca="1" si="78"/>
        <v>0</v>
      </c>
      <c r="S193" s="307">
        <f t="shared" ca="1" si="79"/>
        <v>7.4799999999999969</v>
      </c>
      <c r="T193" s="304">
        <f t="shared" ca="1" si="59"/>
        <v>73.37879999999997</v>
      </c>
      <c r="U193" s="311">
        <f t="shared" ca="1" si="60"/>
        <v>0</v>
      </c>
      <c r="V193" s="306">
        <f t="shared" ca="1" si="61"/>
        <v>1.1958675573427717</v>
      </c>
      <c r="W193" s="304">
        <f t="shared" ca="1" si="62"/>
        <v>171.00264788751667</v>
      </c>
      <c r="Y193" s="314" t="str">
        <f t="shared" ca="1" si="80"/>
        <v/>
      </c>
      <c r="Z193" s="315" t="str">
        <f t="shared" ca="1" si="81"/>
        <v/>
      </c>
      <c r="AA193" s="316" t="str">
        <f t="shared" ca="1" si="82"/>
        <v/>
      </c>
      <c r="AC193" s="310" t="e">
        <f t="shared" ca="1" si="83"/>
        <v>#N/A</v>
      </c>
      <c r="AD193" s="323" t="e">
        <f t="shared" ca="1" si="84"/>
        <v>#N/A</v>
      </c>
      <c r="AE193" s="324">
        <f t="shared" ca="1" si="63"/>
        <v>240.67770720348804</v>
      </c>
      <c r="AG193" s="306">
        <f t="shared" ca="1" si="85"/>
        <v>-32.55000721166536</v>
      </c>
      <c r="AH193" s="304">
        <f t="shared" ca="1" si="86"/>
        <v>-22.936246400887203</v>
      </c>
    </row>
    <row r="194" spans="1:34" x14ac:dyDescent="0.2">
      <c r="A194" s="347">
        <f t="shared" ca="1" si="64"/>
        <v>0.01</v>
      </c>
      <c r="B194" s="304">
        <f t="shared" ca="1" si="65"/>
        <v>1.9000000000000015</v>
      </c>
      <c r="D194" s="306">
        <f t="shared" ca="1" si="66"/>
        <v>-4.5518545349916639</v>
      </c>
      <c r="E194" s="307">
        <f t="shared" ca="1" si="67"/>
        <v>-32.213580411693464</v>
      </c>
      <c r="F194" s="304">
        <f t="shared" ca="1" si="68"/>
        <v>32.533584841642721</v>
      </c>
      <c r="G194" s="306">
        <f t="shared" ca="1" si="69"/>
        <v>42.226105955968883</v>
      </c>
      <c r="H194" s="307">
        <f t="shared" ca="1" si="70"/>
        <v>207.73278584771074</v>
      </c>
      <c r="I194" s="304">
        <f t="shared" ca="1" si="71"/>
        <v>211.98102353808835</v>
      </c>
      <c r="J194" s="306">
        <f t="shared" ca="1" si="72"/>
        <v>47.568500608049902</v>
      </c>
      <c r="K194" s="307">
        <f t="shared" ca="1" si="73"/>
        <v>242.75664574098573</v>
      </c>
      <c r="L194" s="304">
        <f t="shared" ca="1" si="58"/>
        <v>247.37330353437997</v>
      </c>
      <c r="M194" s="306">
        <f t="shared" ca="1" si="74"/>
        <v>1.3702573086559355</v>
      </c>
      <c r="N194" s="304">
        <f t="shared" ca="1" si="75"/>
        <v>78.509960632940079</v>
      </c>
      <c r="P194" s="310">
        <f t="shared" ca="1" si="76"/>
        <v>23</v>
      </c>
      <c r="Q194" s="304">
        <f t="shared" ca="1" si="77"/>
        <v>0</v>
      </c>
      <c r="R194" s="306">
        <f t="shared" ca="1" si="78"/>
        <v>0</v>
      </c>
      <c r="S194" s="307">
        <f t="shared" ca="1" si="79"/>
        <v>7.4799999999999969</v>
      </c>
      <c r="T194" s="304">
        <f t="shared" ca="1" si="59"/>
        <v>73.37879999999997</v>
      </c>
      <c r="U194" s="311">
        <f t="shared" ca="1" si="60"/>
        <v>0</v>
      </c>
      <c r="V194" s="306">
        <f t="shared" ca="1" si="61"/>
        <v>1.1956189333560681</v>
      </c>
      <c r="W194" s="304">
        <f t="shared" ca="1" si="62"/>
        <v>170.44446514463687</v>
      </c>
      <c r="Y194" s="314" t="str">
        <f t="shared" ca="1" si="80"/>
        <v/>
      </c>
      <c r="Z194" s="315" t="str">
        <f t="shared" ca="1" si="81"/>
        <v/>
      </c>
      <c r="AA194" s="316" t="str">
        <f t="shared" ca="1" si="82"/>
        <v/>
      </c>
      <c r="AC194" s="310" t="e">
        <f t="shared" ca="1" si="83"/>
        <v>#N/A</v>
      </c>
      <c r="AD194" s="323" t="e">
        <f t="shared" ca="1" si="84"/>
        <v>#N/A</v>
      </c>
      <c r="AE194" s="324">
        <f t="shared" ca="1" si="63"/>
        <v>242.75664574098573</v>
      </c>
      <c r="AG194" s="306">
        <f t="shared" ca="1" si="85"/>
        <v>-32.47489779426737</v>
      </c>
      <c r="AH194" s="304">
        <f t="shared" ca="1" si="86"/>
        <v>-22.861316562502239</v>
      </c>
    </row>
    <row r="195" spans="1:34" x14ac:dyDescent="0.2">
      <c r="A195" s="347">
        <f t="shared" ca="1" si="64"/>
        <v>0.01</v>
      </c>
      <c r="B195" s="304">
        <f t="shared" ca="1" si="65"/>
        <v>1.9100000000000015</v>
      </c>
      <c r="D195" s="306">
        <f t="shared" ca="1" si="66"/>
        <v>-4.5390540409633768</v>
      </c>
      <c r="E195" s="307">
        <f t="shared" ca="1" si="67"/>
        <v>-32.140033037520624</v>
      </c>
      <c r="F195" s="304">
        <f t="shared" ca="1" si="68"/>
        <v>32.458970027400795</v>
      </c>
      <c r="G195" s="306">
        <f t="shared" ca="1" si="69"/>
        <v>42.180715415559249</v>
      </c>
      <c r="H195" s="307">
        <f t="shared" ca="1" si="70"/>
        <v>207.41138551733553</v>
      </c>
      <c r="I195" s="304">
        <f t="shared" ca="1" si="71"/>
        <v>211.65702349600681</v>
      </c>
      <c r="J195" s="306">
        <f t="shared" ca="1" si="72"/>
        <v>47.99053471490754</v>
      </c>
      <c r="K195" s="307">
        <f t="shared" ca="1" si="73"/>
        <v>244.83236659781096</v>
      </c>
      <c r="L195" s="304">
        <f t="shared" ca="1" si="58"/>
        <v>249.49144104779955</v>
      </c>
      <c r="M195" s="306">
        <f t="shared" ca="1" si="74"/>
        <v>1.3701649834315297</v>
      </c>
      <c r="N195" s="304">
        <f t="shared" ca="1" si="75"/>
        <v>78.504670787239021</v>
      </c>
      <c r="P195" s="310">
        <f t="shared" ca="1" si="76"/>
        <v>23</v>
      </c>
      <c r="Q195" s="304">
        <f t="shared" ca="1" si="77"/>
        <v>0</v>
      </c>
      <c r="R195" s="306">
        <f t="shared" ca="1" si="78"/>
        <v>0</v>
      </c>
      <c r="S195" s="307">
        <f t="shared" ca="1" si="79"/>
        <v>7.4799999999999969</v>
      </c>
      <c r="T195" s="304">
        <f t="shared" ca="1" si="59"/>
        <v>73.37879999999997</v>
      </c>
      <c r="U195" s="311">
        <f t="shared" ca="1" si="60"/>
        <v>0</v>
      </c>
      <c r="V195" s="306">
        <f t="shared" ca="1" si="61"/>
        <v>1.1953707451213913</v>
      </c>
      <c r="W195" s="304">
        <f t="shared" ca="1" si="62"/>
        <v>169.88856239805017</v>
      </c>
      <c r="Y195" s="314" t="str">
        <f t="shared" ca="1" si="80"/>
        <v/>
      </c>
      <c r="Z195" s="315" t="str">
        <f t="shared" ca="1" si="81"/>
        <v/>
      </c>
      <c r="AA195" s="316" t="str">
        <f t="shared" ca="1" si="82"/>
        <v/>
      </c>
      <c r="AC195" s="310" t="e">
        <f t="shared" ca="1" si="83"/>
        <v>#N/A</v>
      </c>
      <c r="AD195" s="323" t="e">
        <f t="shared" ca="1" si="84"/>
        <v>#N/A</v>
      </c>
      <c r="AE195" s="324">
        <f t="shared" ca="1" si="63"/>
        <v>244.83236659781096</v>
      </c>
      <c r="AG195" s="306">
        <f t="shared" ca="1" si="85"/>
        <v>-32.400094415815204</v>
      </c>
      <c r="AH195" s="304">
        <f t="shared" ca="1" si="86"/>
        <v>-22.786693201154669</v>
      </c>
    </row>
    <row r="196" spans="1:34" x14ac:dyDescent="0.2">
      <c r="A196" s="347">
        <f t="shared" ca="1" si="64"/>
        <v>0.01</v>
      </c>
      <c r="B196" s="304">
        <f t="shared" ca="1" si="65"/>
        <v>1.9200000000000015</v>
      </c>
      <c r="D196" s="306">
        <f t="shared" ca="1" si="66"/>
        <v>-4.5263048482385742</v>
      </c>
      <c r="E196" s="307">
        <f t="shared" ca="1" si="67"/>
        <v>-32.066786083355453</v>
      </c>
      <c r="F196" s="304">
        <f t="shared" ca="1" si="68"/>
        <v>32.384660030558713</v>
      </c>
      <c r="G196" s="306">
        <f t="shared" ca="1" si="69"/>
        <v>42.135452367076866</v>
      </c>
      <c r="H196" s="307">
        <f t="shared" ca="1" si="70"/>
        <v>207.09071765650197</v>
      </c>
      <c r="I196" s="304">
        <f t="shared" ca="1" si="71"/>
        <v>211.33376844617905</v>
      </c>
      <c r="J196" s="306">
        <f t="shared" ca="1" si="72"/>
        <v>48.412115553820719</v>
      </c>
      <c r="K196" s="307">
        <f t="shared" ca="1" si="73"/>
        <v>246.90487711368016</v>
      </c>
      <c r="L196" s="304">
        <f t="shared" ref="L196:L259" ca="1" si="87">SQRT(pos_x^2+pos_z^2)</f>
        <v>251.60634188135637</v>
      </c>
      <c r="M196" s="306">
        <f t="shared" ca="1" si="74"/>
        <v>1.3700724749893334</v>
      </c>
      <c r="N196" s="304">
        <f t="shared" ca="1" si="75"/>
        <v>78.499370443931838</v>
      </c>
      <c r="P196" s="310">
        <f t="shared" ca="1" si="76"/>
        <v>23</v>
      </c>
      <c r="Q196" s="304">
        <f t="shared" ca="1" si="77"/>
        <v>0</v>
      </c>
      <c r="R196" s="306">
        <f t="shared" ca="1" si="78"/>
        <v>0</v>
      </c>
      <c r="S196" s="307">
        <f t="shared" ca="1" si="79"/>
        <v>7.4799999999999969</v>
      </c>
      <c r="T196" s="304">
        <f t="shared" ref="T196:T259" ca="1" si="88">m*g</f>
        <v>73.37879999999997</v>
      </c>
      <c r="U196" s="311">
        <f t="shared" ref="U196:U259" ca="1" si="89">IF(pos_xz&lt;L_rampe,Poids*COS(Beta),0)</f>
        <v>0</v>
      </c>
      <c r="V196" s="306">
        <f t="shared" ref="V196:V259" ca="1" si="90">Rho_moyen*(20000-Alt_rampe-pos_z)/(20000+Alt_rampe+pos_z)</f>
        <v>1.1951229915090731</v>
      </c>
      <c r="W196" s="304">
        <f t="shared" ref="W196:W259" ca="1" si="91">1/2*Rho*Sref*Cx*vit_xz^2</f>
        <v>169.33492728108439</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246.90487711368016</v>
      </c>
      <c r="AG196" s="306">
        <f t="shared" ca="1" si="85"/>
        <v>-32.325595410508399</v>
      </c>
      <c r="AH196" s="304">
        <f t="shared" ca="1" si="86"/>
        <v>-22.712374652145755</v>
      </c>
    </row>
    <row r="197" spans="1:34" x14ac:dyDescent="0.2">
      <c r="A197" s="347">
        <f t="shared" ref="A197:A260" ca="1" si="93">IF(B196+0.01&lt;=T_ini+ROUNDUP(Temps_fin_propu,0), 0.01, IF(K196&gt;0, 0.1, 0.0001))</f>
        <v>0.01</v>
      </c>
      <c r="B197" s="304">
        <f t="shared" ref="B197:B260" ca="1" si="94">B196+pas</f>
        <v>1.9300000000000015</v>
      </c>
      <c r="D197" s="306">
        <f t="shared" ref="D197:D260" ca="1" si="95">IF(AND(L196&lt;L_rampe,Poussee&lt;Poids*SIN(M196)),0,(-W196+Poussee)/m*COS(M196)-U196/m*SIN(M196))</f>
        <v>-4.513606677122981</v>
      </c>
      <c r="E197" s="307">
        <f t="shared" ref="E197:E260" ca="1" si="96">IF(AND(L196&lt;L_rampe,Poussee&lt;Poids*SIN(M196)),0,(-W196+Poussee)/m*SIN(M196)+U196/m*COS(M196)-Poids/m)</f>
        <v>-31.993837919702464</v>
      </c>
      <c r="F197" s="304">
        <f t="shared" ref="F197:F260" ca="1" si="97">SQRT(acc_x^2+acc_z^2)</f>
        <v>32.310653197791602</v>
      </c>
      <c r="G197" s="306">
        <f t="shared" ref="G197:G260" ca="1" si="98">G196+acc_x*pas</f>
        <v>42.090316300305638</v>
      </c>
      <c r="H197" s="307">
        <f t="shared" ref="H197:H260" ca="1" si="99">H196+acc_z*pas</f>
        <v>206.77077927730494</v>
      </c>
      <c r="I197" s="304">
        <f t="shared" ref="I197:I260" ca="1" si="100">SQRT(vit_x^2+vit_z^2)</f>
        <v>211.01125536142317</v>
      </c>
      <c r="J197" s="306">
        <f t="shared" ref="J197:J260" ca="1" si="101">J196+0.5*(vit_x+G196)*pas*(K196&gt;=0)</f>
        <v>48.833244397157628</v>
      </c>
      <c r="K197" s="307">
        <f t="shared" ref="K197:K260" ca="1" si="102">K196+0.5*(vit_z+H196)*pas</f>
        <v>248.97418459834918</v>
      </c>
      <c r="L197" s="304">
        <f t="shared" ca="1" si="87"/>
        <v>253.71801346133347</v>
      </c>
      <c r="M197" s="306">
        <f t="shared" ref="M197:M260" ca="1" si="103">IF(AND(L196&gt;L_rampe,G197&gt;0),ATAN2(G197,H197),$M$4)</f>
        <v>1.369979783011239</v>
      </c>
      <c r="N197" s="304">
        <f t="shared" ref="N197:N260" ca="1" si="104">DEGREES(Beta)</f>
        <v>78.494059584792311</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7.4799999999999969</v>
      </c>
      <c r="T197" s="304">
        <f t="shared" ca="1" si="88"/>
        <v>73.37879999999997</v>
      </c>
      <c r="U197" s="311">
        <f t="shared" ca="1" si="89"/>
        <v>0</v>
      </c>
      <c r="V197" s="306">
        <f t="shared" ca="1" si="90"/>
        <v>1.1948756713942619</v>
      </c>
      <c r="W197" s="304">
        <f t="shared" ca="1" si="91"/>
        <v>168.78354751163911</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248.97418459834918</v>
      </c>
      <c r="AG197" s="306">
        <f t="shared" ref="AG197:AG260" ca="1" si="114">IF(AND(L196&lt;L_rampe,Poussee&lt;Poids*SIN(M196)),0,(-W196+Poussee)/m-Poids*SIN(M196)/m)</f>
        <v>-32.251399123942782</v>
      </c>
      <c r="AH197" s="304">
        <f t="shared" ref="AH197:AH260" ca="1" si="115">IF(AND(L196&lt;L_rampe,Poussee&lt;Poids*SIN(M196)), g*SIN(M196), (-W196+Poussee)/m)</f>
        <v>-22.638359262177065</v>
      </c>
    </row>
    <row r="198" spans="1:34" x14ac:dyDescent="0.2">
      <c r="A198" s="347">
        <f t="shared" ca="1" si="93"/>
        <v>0.01</v>
      </c>
      <c r="B198" s="304">
        <f t="shared" ca="1" si="94"/>
        <v>1.9400000000000015</v>
      </c>
      <c r="D198" s="306">
        <f t="shared" ca="1" si="95"/>
        <v>-4.5009592498338149</v>
      </c>
      <c r="E198" s="307">
        <f t="shared" ca="1" si="96"/>
        <v>-31.921186928209742</v>
      </c>
      <c r="F198" s="304">
        <f t="shared" ca="1" si="97"/>
        <v>32.236947887080952</v>
      </c>
      <c r="G198" s="306">
        <f t="shared" ca="1" si="98"/>
        <v>42.045306707807299</v>
      </c>
      <c r="H198" s="307">
        <f t="shared" ca="1" si="99"/>
        <v>206.45156740802284</v>
      </c>
      <c r="I198" s="304">
        <f t="shared" ca="1" si="100"/>
        <v>210.68948123098835</v>
      </c>
      <c r="J198" s="306">
        <f t="shared" ca="1" si="101"/>
        <v>49.253922512198194</v>
      </c>
      <c r="K198" s="307">
        <f t="shared" ca="1" si="102"/>
        <v>251.04029633177583</v>
      </c>
      <c r="L198" s="304">
        <f t="shared" ca="1" si="87"/>
        <v>255.82646318390022</v>
      </c>
      <c r="M198" s="306">
        <f t="shared" ca="1" si="103"/>
        <v>1.3698869071781496</v>
      </c>
      <c r="N198" s="304">
        <f t="shared" ca="1" si="104"/>
        <v>78.488738191537536</v>
      </c>
      <c r="P198" s="310">
        <f t="shared" ca="1" si="105"/>
        <v>23</v>
      </c>
      <c r="Q198" s="304">
        <f t="shared" ca="1" si="106"/>
        <v>0</v>
      </c>
      <c r="R198" s="306">
        <f t="shared" ca="1" si="107"/>
        <v>0</v>
      </c>
      <c r="S198" s="307">
        <f t="shared" ca="1" si="108"/>
        <v>7.4799999999999969</v>
      </c>
      <c r="T198" s="304">
        <f t="shared" ca="1" si="88"/>
        <v>73.37879999999997</v>
      </c>
      <c r="U198" s="311">
        <f t="shared" ca="1" si="89"/>
        <v>0</v>
      </c>
      <c r="V198" s="306">
        <f t="shared" ca="1" si="90"/>
        <v>1.1946287836568941</v>
      </c>
      <c r="W198" s="304">
        <f t="shared" ca="1" si="91"/>
        <v>168.23441089148994</v>
      </c>
      <c r="Y198" s="314" t="str">
        <f t="shared" ca="1" si="109"/>
        <v/>
      </c>
      <c r="Z198" s="315" t="str">
        <f t="shared" ca="1" si="110"/>
        <v/>
      </c>
      <c r="AA198" s="316" t="str">
        <f t="shared" ca="1" si="111"/>
        <v/>
      </c>
      <c r="AC198" s="310" t="e">
        <f t="shared" ca="1" si="112"/>
        <v>#N/A</v>
      </c>
      <c r="AD198" s="323" t="e">
        <f t="shared" ca="1" si="113"/>
        <v>#N/A</v>
      </c>
      <c r="AE198" s="324">
        <f t="shared" ca="1" si="92"/>
        <v>251.04029633177583</v>
      </c>
      <c r="AG198" s="306">
        <f t="shared" ca="1" si="114"/>
        <v>-32.177503913016608</v>
      </c>
      <c r="AH198" s="304">
        <f t="shared" ca="1" si="115"/>
        <v>-22.564645389256576</v>
      </c>
    </row>
    <row r="199" spans="1:34" x14ac:dyDescent="0.2">
      <c r="A199" s="347">
        <f t="shared" ca="1" si="93"/>
        <v>0.01</v>
      </c>
      <c r="B199" s="304">
        <f t="shared" ca="1" si="94"/>
        <v>1.9500000000000015</v>
      </c>
      <c r="D199" s="306">
        <f t="shared" ca="1" si="95"/>
        <v>-4.4883622904840728</v>
      </c>
      <c r="E199" s="307">
        <f t="shared" ca="1" si="96"/>
        <v>-31.848831501577251</v>
      </c>
      <c r="F199" s="304">
        <f t="shared" ca="1" si="97"/>
        <v>32.16354246762161</v>
      </c>
      <c r="G199" s="306">
        <f t="shared" ca="1" si="98"/>
        <v>42.000423084902458</v>
      </c>
      <c r="H199" s="307">
        <f t="shared" ca="1" si="99"/>
        <v>206.13307909300707</v>
      </c>
      <c r="I199" s="304">
        <f t="shared" ca="1" si="100"/>
        <v>210.36844306044267</v>
      </c>
      <c r="J199" s="306">
        <f t="shared" ca="1" si="101"/>
        <v>49.674151161161745</v>
      </c>
      <c r="K199" s="307">
        <f t="shared" ca="1" si="102"/>
        <v>253.10321956428098</v>
      </c>
      <c r="L199" s="304">
        <f t="shared" ca="1" si="87"/>
        <v>257.93169841527151</v>
      </c>
      <c r="M199" s="306">
        <f t="shared" ca="1" si="103"/>
        <v>1.369793847169976</v>
      </c>
      <c r="N199" s="304">
        <f t="shared" ca="1" si="104"/>
        <v>78.483406245827723</v>
      </c>
      <c r="P199" s="310">
        <f t="shared" ca="1" si="105"/>
        <v>23</v>
      </c>
      <c r="Q199" s="304">
        <f t="shared" ca="1" si="106"/>
        <v>0</v>
      </c>
      <c r="R199" s="306">
        <f t="shared" ca="1" si="107"/>
        <v>0</v>
      </c>
      <c r="S199" s="307">
        <f t="shared" ca="1" si="108"/>
        <v>7.4799999999999969</v>
      </c>
      <c r="T199" s="304">
        <f t="shared" ca="1" si="88"/>
        <v>73.37879999999997</v>
      </c>
      <c r="U199" s="311">
        <f t="shared" ca="1" si="89"/>
        <v>0</v>
      </c>
      <c r="V199" s="306">
        <f t="shared" ca="1" si="90"/>
        <v>1.19438232718167</v>
      </c>
      <c r="W199" s="304">
        <f t="shared" ca="1" si="91"/>
        <v>167.68750530559979</v>
      </c>
      <c r="Y199" s="314" t="str">
        <f t="shared" ca="1" si="109"/>
        <v/>
      </c>
      <c r="Z199" s="315" t="str">
        <f t="shared" ca="1" si="110"/>
        <v/>
      </c>
      <c r="AA199" s="316" t="str">
        <f t="shared" ca="1" si="111"/>
        <v/>
      </c>
      <c r="AC199" s="310" t="e">
        <f t="shared" ca="1" si="112"/>
        <v>#N/A</v>
      </c>
      <c r="AD199" s="323" t="e">
        <f t="shared" ca="1" si="113"/>
        <v>#N/A</v>
      </c>
      <c r="AE199" s="324">
        <f t="shared" ca="1" si="92"/>
        <v>253.10321956428098</v>
      </c>
      <c r="AG199" s="306">
        <f t="shared" ca="1" si="114"/>
        <v>-32.103908145837465</v>
      </c>
      <c r="AH199" s="304">
        <f t="shared" ca="1" si="115"/>
        <v>-22.491231402605617</v>
      </c>
    </row>
    <row r="200" spans="1:34" x14ac:dyDescent="0.2">
      <c r="A200" s="347">
        <f t="shared" ca="1" si="93"/>
        <v>0.01</v>
      </c>
      <c r="B200" s="304">
        <f t="shared" ca="1" si="94"/>
        <v>1.9600000000000015</v>
      </c>
      <c r="D200" s="306">
        <f t="shared" ca="1" si="95"/>
        <v>-4.4758155250669569</v>
      </c>
      <c r="E200" s="307">
        <f t="shared" ca="1" si="96"/>
        <v>-31.776770043466065</v>
      </c>
      <c r="F200" s="304">
        <f t="shared" ca="1" si="97"/>
        <v>32.090435319729657</v>
      </c>
      <c r="G200" s="306">
        <f t="shared" ca="1" si="98"/>
        <v>41.955664929651789</v>
      </c>
      <c r="H200" s="307">
        <f t="shared" ca="1" si="99"/>
        <v>205.8153113925724</v>
      </c>
      <c r="I200" s="304">
        <f t="shared" ca="1" si="100"/>
        <v>210.04813787156209</v>
      </c>
      <c r="J200" s="306">
        <f t="shared" ca="1" si="101"/>
        <v>50.093931601234516</v>
      </c>
      <c r="K200" s="307">
        <f t="shared" ca="1" si="102"/>
        <v>255.16296151670886</v>
      </c>
      <c r="L200" s="304">
        <f t="shared" ca="1" si="87"/>
        <v>260.03372649186605</v>
      </c>
      <c r="M200" s="306">
        <f t="shared" ca="1" si="103"/>
        <v>1.369700602665634</v>
      </c>
      <c r="N200" s="304">
        <f t="shared" ca="1" si="104"/>
        <v>78.47806372926614</v>
      </c>
      <c r="P200" s="310">
        <f t="shared" ca="1" si="105"/>
        <v>23</v>
      </c>
      <c r="Q200" s="304">
        <f t="shared" ca="1" si="106"/>
        <v>0</v>
      </c>
      <c r="R200" s="306">
        <f t="shared" ca="1" si="107"/>
        <v>0</v>
      </c>
      <c r="S200" s="307">
        <f t="shared" ca="1" si="108"/>
        <v>7.4799999999999969</v>
      </c>
      <c r="T200" s="304">
        <f t="shared" ca="1" si="88"/>
        <v>73.37879999999997</v>
      </c>
      <c r="U200" s="311">
        <f t="shared" ca="1" si="89"/>
        <v>0</v>
      </c>
      <c r="V200" s="306">
        <f t="shared" ca="1" si="90"/>
        <v>1.1941363008580248</v>
      </c>
      <c r="W200" s="304">
        <f t="shared" ca="1" si="91"/>
        <v>167.14281872143633</v>
      </c>
      <c r="Y200" s="314" t="str">
        <f t="shared" ca="1" si="109"/>
        <v/>
      </c>
      <c r="Z200" s="315" t="str">
        <f t="shared" ca="1" si="110"/>
        <v/>
      </c>
      <c r="AA200" s="316" t="str">
        <f t="shared" ca="1" si="111"/>
        <v/>
      </c>
      <c r="AC200" s="310" t="e">
        <f t="shared" ca="1" si="112"/>
        <v>#N/A</v>
      </c>
      <c r="AD200" s="323" t="e">
        <f t="shared" ca="1" si="113"/>
        <v>#N/A</v>
      </c>
      <c r="AE200" s="324">
        <f t="shared" ca="1" si="92"/>
        <v>255.16296151670886</v>
      </c>
      <c r="AG200" s="306">
        <f t="shared" ca="1" si="114"/>
        <v>-32.030610201630189</v>
      </c>
      <c r="AH200" s="304">
        <f t="shared" ca="1" si="115"/>
        <v>-22.418115682566825</v>
      </c>
    </row>
    <row r="201" spans="1:34" x14ac:dyDescent="0.2">
      <c r="A201" s="347">
        <f t="shared" ca="1" si="93"/>
        <v>0.01</v>
      </c>
      <c r="B201" s="304">
        <f t="shared" ca="1" si="94"/>
        <v>1.9700000000000015</v>
      </c>
      <c r="D201" s="306">
        <f t="shared" ca="1" si="95"/>
        <v>-4.4633186814404358</v>
      </c>
      <c r="E201" s="307">
        <f t="shared" ca="1" si="96"/>
        <v>-31.705000968408505</v>
      </c>
      <c r="F201" s="304">
        <f t="shared" ca="1" si="97"/>
        <v>32.017624834751238</v>
      </c>
      <c r="G201" s="306">
        <f t="shared" ca="1" si="98"/>
        <v>41.911031742837388</v>
      </c>
      <c r="H201" s="307">
        <f t="shared" ca="1" si="99"/>
        <v>205.4982613828883</v>
      </c>
      <c r="I201" s="304">
        <f t="shared" ca="1" si="100"/>
        <v>209.72856270221996</v>
      </c>
      <c r="J201" s="306">
        <f t="shared" ca="1" si="101"/>
        <v>50.513265084596959</v>
      </c>
      <c r="K201" s="307">
        <f t="shared" ca="1" si="102"/>
        <v>257.21952938058615</v>
      </c>
      <c r="L201" s="304">
        <f t="shared" ca="1" si="87"/>
        <v>262.13255472046387</v>
      </c>
      <c r="M201" s="306">
        <f t="shared" ca="1" si="103"/>
        <v>1.3696071733430413</v>
      </c>
      <c r="N201" s="304">
        <f t="shared" ca="1" si="104"/>
        <v>78.472710623398811</v>
      </c>
      <c r="P201" s="310">
        <f t="shared" ca="1" si="105"/>
        <v>23</v>
      </c>
      <c r="Q201" s="304">
        <f t="shared" ca="1" si="106"/>
        <v>0</v>
      </c>
      <c r="R201" s="306">
        <f t="shared" ca="1" si="107"/>
        <v>0</v>
      </c>
      <c r="S201" s="307">
        <f t="shared" ca="1" si="108"/>
        <v>7.4799999999999969</v>
      </c>
      <c r="T201" s="304">
        <f t="shared" ca="1" si="88"/>
        <v>73.37879999999997</v>
      </c>
      <c r="U201" s="311">
        <f t="shared" ca="1" si="89"/>
        <v>0</v>
      </c>
      <c r="V201" s="306">
        <f t="shared" ca="1" si="90"/>
        <v>1.1938907035801027</v>
      </c>
      <c r="W201" s="304">
        <f t="shared" ca="1" si="91"/>
        <v>166.60033918829589</v>
      </c>
      <c r="Y201" s="314" t="str">
        <f t="shared" ca="1" si="109"/>
        <v/>
      </c>
      <c r="Z201" s="315" t="str">
        <f t="shared" ca="1" si="110"/>
        <v/>
      </c>
      <c r="AA201" s="316" t="str">
        <f t="shared" ca="1" si="111"/>
        <v/>
      </c>
      <c r="AC201" s="310" t="e">
        <f t="shared" ca="1" si="112"/>
        <v>#N/A</v>
      </c>
      <c r="AD201" s="323" t="e">
        <f t="shared" ca="1" si="113"/>
        <v>#N/A</v>
      </c>
      <c r="AE201" s="324">
        <f t="shared" ca="1" si="92"/>
        <v>257.21952938058615</v>
      </c>
      <c r="AG201" s="306">
        <f t="shared" ca="1" si="114"/>
        <v>-31.957608470645646</v>
      </c>
      <c r="AH201" s="304">
        <f t="shared" ca="1" si="115"/>
        <v>-22.345296620512887</v>
      </c>
    </row>
    <row r="202" spans="1:34" x14ac:dyDescent="0.2">
      <c r="A202" s="347">
        <f t="shared" ca="1" si="93"/>
        <v>0.01</v>
      </c>
      <c r="B202" s="304">
        <f t="shared" ca="1" si="94"/>
        <v>1.9800000000000015</v>
      </c>
      <c r="D202" s="306">
        <f t="shared" ca="1" si="95"/>
        <v>-4.4508714893119681</v>
      </c>
      <c r="E202" s="307">
        <f t="shared" ca="1" si="96"/>
        <v>-31.633522701718974</v>
      </c>
      <c r="F202" s="304">
        <f t="shared" ca="1" si="97"/>
        <v>31.945109414972112</v>
      </c>
      <c r="G202" s="306">
        <f t="shared" ca="1" si="98"/>
        <v>41.866523027944268</v>
      </c>
      <c r="H202" s="307">
        <f t="shared" ca="1" si="99"/>
        <v>205.18192615587111</v>
      </c>
      <c r="I202" s="304">
        <f t="shared" ca="1" si="100"/>
        <v>209.40971460627782</v>
      </c>
      <c r="J202" s="306">
        <f t="shared" ca="1" si="101"/>
        <v>50.93215285845087</v>
      </c>
      <c r="K202" s="307">
        <f t="shared" ca="1" si="102"/>
        <v>259.27293031827998</v>
      </c>
      <c r="L202" s="304">
        <f t="shared" ca="1" si="87"/>
        <v>264.22819037836268</v>
      </c>
      <c r="M202" s="306">
        <f t="shared" ca="1" si="103"/>
        <v>1.3695135588791139</v>
      </c>
      <c r="N202" s="304">
        <f t="shared" ca="1" si="104"/>
        <v>78.467346909714394</v>
      </c>
      <c r="P202" s="310">
        <f t="shared" ca="1" si="105"/>
        <v>23</v>
      </c>
      <c r="Q202" s="304">
        <f t="shared" ca="1" si="106"/>
        <v>0</v>
      </c>
      <c r="R202" s="306">
        <f t="shared" ca="1" si="107"/>
        <v>0</v>
      </c>
      <c r="S202" s="307">
        <f t="shared" ca="1" si="108"/>
        <v>7.4799999999999969</v>
      </c>
      <c r="T202" s="304">
        <f t="shared" ca="1" si="88"/>
        <v>73.37879999999997</v>
      </c>
      <c r="U202" s="311">
        <f t="shared" ca="1" si="89"/>
        <v>0</v>
      </c>
      <c r="V202" s="306">
        <f t="shared" ca="1" si="90"/>
        <v>1.1936455342467316</v>
      </c>
      <c r="W202" s="304">
        <f t="shared" ca="1" si="91"/>
        <v>166.06005483663455</v>
      </c>
      <c r="Y202" s="314" t="str">
        <f t="shared" ca="1" si="109"/>
        <v/>
      </c>
      <c r="Z202" s="315" t="str">
        <f t="shared" ca="1" si="110"/>
        <v/>
      </c>
      <c r="AA202" s="316" t="str">
        <f t="shared" ca="1" si="111"/>
        <v/>
      </c>
      <c r="AC202" s="310" t="e">
        <f t="shared" ca="1" si="112"/>
        <v>#N/A</v>
      </c>
      <c r="AD202" s="323" t="e">
        <f t="shared" ca="1" si="113"/>
        <v>#N/A</v>
      </c>
      <c r="AE202" s="324">
        <f t="shared" ca="1" si="92"/>
        <v>259.27293031827998</v>
      </c>
      <c r="AG202" s="306">
        <f t="shared" ca="1" si="114"/>
        <v>-31.884901354070248</v>
      </c>
      <c r="AH202" s="304">
        <f t="shared" ca="1" si="115"/>
        <v>-22.272772618756143</v>
      </c>
    </row>
    <row r="203" spans="1:34" x14ac:dyDescent="0.2">
      <c r="A203" s="347">
        <f t="shared" ca="1" si="93"/>
        <v>0.01</v>
      </c>
      <c r="B203" s="304">
        <f t="shared" ca="1" si="94"/>
        <v>1.9900000000000015</v>
      </c>
      <c r="D203" s="306">
        <f t="shared" ca="1" si="95"/>
        <v>-4.4384736802233871</v>
      </c>
      <c r="E203" s="307">
        <f t="shared" ca="1" si="96"/>
        <v>-31.562333679405839</v>
      </c>
      <c r="F203" s="304">
        <f t="shared" ca="1" si="97"/>
        <v>31.872887473528216</v>
      </c>
      <c r="G203" s="306">
        <f t="shared" ca="1" si="98"/>
        <v>41.822138291142032</v>
      </c>
      <c r="H203" s="307">
        <f t="shared" ca="1" si="99"/>
        <v>204.86630281907705</v>
      </c>
      <c r="I203" s="304">
        <f t="shared" ca="1" si="100"/>
        <v>209.091590653477</v>
      </c>
      <c r="J203" s="306">
        <f t="shared" ca="1" si="101"/>
        <v>51.350596165046298</v>
      </c>
      <c r="K203" s="307">
        <f t="shared" ca="1" si="102"/>
        <v>261.32317146315472</v>
      </c>
      <c r="L203" s="304">
        <f t="shared" ca="1" si="87"/>
        <v>266.32064071353358</v>
      </c>
      <c r="M203" s="306">
        <f t="shared" ca="1" si="103"/>
        <v>1.3694197589497634</v>
      </c>
      <c r="N203" s="304">
        <f t="shared" ca="1" si="104"/>
        <v>78.46197256964399</v>
      </c>
      <c r="P203" s="310">
        <f t="shared" ca="1" si="105"/>
        <v>23</v>
      </c>
      <c r="Q203" s="304">
        <f t="shared" ca="1" si="106"/>
        <v>0</v>
      </c>
      <c r="R203" s="306">
        <f t="shared" ca="1" si="107"/>
        <v>0</v>
      </c>
      <c r="S203" s="307">
        <f t="shared" ca="1" si="108"/>
        <v>7.4799999999999969</v>
      </c>
      <c r="T203" s="304">
        <f t="shared" ca="1" si="88"/>
        <v>73.37879999999997</v>
      </c>
      <c r="U203" s="311">
        <f t="shared" ca="1" si="89"/>
        <v>0</v>
      </c>
      <c r="V203" s="306">
        <f t="shared" ca="1" si="90"/>
        <v>1.1934007917613954</v>
      </c>
      <c r="W203" s="304">
        <f t="shared" ca="1" si="91"/>
        <v>165.52195387740491</v>
      </c>
      <c r="Y203" s="314" t="str">
        <f t="shared" ca="1" si="109"/>
        <v/>
      </c>
      <c r="Z203" s="315" t="str">
        <f t="shared" ca="1" si="110"/>
        <v/>
      </c>
      <c r="AA203" s="316" t="str">
        <f t="shared" ca="1" si="111"/>
        <v/>
      </c>
      <c r="AC203" s="310" t="e">
        <f t="shared" ca="1" si="112"/>
        <v>#N/A</v>
      </c>
      <c r="AD203" s="323" t="e">
        <f t="shared" ca="1" si="113"/>
        <v>#N/A</v>
      </c>
      <c r="AE203" s="324">
        <f t="shared" ca="1" si="92"/>
        <v>261.32317146315472</v>
      </c>
      <c r="AG203" s="306">
        <f t="shared" ca="1" si="114"/>
        <v>-31.812487263936589</v>
      </c>
      <c r="AH203" s="304">
        <f t="shared" ca="1" si="115"/>
        <v>-22.200542090459173</v>
      </c>
    </row>
    <row r="204" spans="1:34" x14ac:dyDescent="0.2">
      <c r="A204" s="347">
        <f t="shared" ca="1" si="93"/>
        <v>0.01</v>
      </c>
      <c r="B204" s="304">
        <f t="shared" ca="1" si="94"/>
        <v>2.0000000000000013</v>
      </c>
      <c r="D204" s="306">
        <f t="shared" ca="1" si="95"/>
        <v>-4.4261249875358999</v>
      </c>
      <c r="E204" s="307">
        <f t="shared" ca="1" si="96"/>
        <v>-31.491432348084082</v>
      </c>
      <c r="F204" s="304">
        <f t="shared" ca="1" si="97"/>
        <v>31.80095743431707</v>
      </c>
      <c r="G204" s="306">
        <f t="shared" ca="1" si="98"/>
        <v>41.77787704126667</v>
      </c>
      <c r="H204" s="307">
        <f t="shared" ca="1" si="99"/>
        <v>204.5513884955962</v>
      </c>
      <c r="I204" s="304">
        <f t="shared" ca="1" si="100"/>
        <v>208.77418792933076</v>
      </c>
      <c r="J204" s="306">
        <f t="shared" ca="1" si="101"/>
        <v>51.768596241708345</v>
      </c>
      <c r="K204" s="307">
        <f t="shared" ca="1" si="102"/>
        <v>263.37025991972808</v>
      </c>
      <c r="L204" s="304">
        <f t="shared" ca="1" si="87"/>
        <v>268.40991294477584</v>
      </c>
      <c r="M204" s="306">
        <f t="shared" ca="1" si="103"/>
        <v>1.3693257732298942</v>
      </c>
      <c r="N204" s="304">
        <f t="shared" ca="1" si="104"/>
        <v>78.456587584560978</v>
      </c>
      <c r="P204" s="310">
        <f t="shared" ca="1" si="105"/>
        <v>23</v>
      </c>
      <c r="Q204" s="304">
        <f t="shared" ca="1" si="106"/>
        <v>0</v>
      </c>
      <c r="R204" s="306">
        <f t="shared" ca="1" si="107"/>
        <v>0</v>
      </c>
      <c r="S204" s="307">
        <f t="shared" ca="1" si="108"/>
        <v>7.4799999999999969</v>
      </c>
      <c r="T204" s="304">
        <f t="shared" ca="1" si="88"/>
        <v>73.37879999999997</v>
      </c>
      <c r="U204" s="311">
        <f t="shared" ca="1" si="89"/>
        <v>0</v>
      </c>
      <c r="V204" s="306">
        <f t="shared" ca="1" si="90"/>
        <v>1.1931564750322097</v>
      </c>
      <c r="W204" s="304">
        <f t="shared" ca="1" si="91"/>
        <v>164.98602460139924</v>
      </c>
      <c r="Y204" s="314" t="str">
        <f t="shared" ca="1" si="109"/>
        <v/>
      </c>
      <c r="Z204" s="315" t="str">
        <f t="shared" ca="1" si="110"/>
        <v/>
      </c>
      <c r="AA204" s="316" t="str">
        <f t="shared" ca="1" si="111"/>
        <v/>
      </c>
      <c r="AC204" s="310">
        <f t="shared" ca="1" si="112"/>
        <v>2.0000000000000013</v>
      </c>
      <c r="AD204" s="323">
        <f t="shared" ca="1" si="113"/>
        <v>51.768596241708345</v>
      </c>
      <c r="AE204" s="324">
        <f t="shared" ca="1" si="92"/>
        <v>263.37025991972808</v>
      </c>
      <c r="AG204" s="306">
        <f t="shared" ca="1" si="114"/>
        <v>-31.740364623034719</v>
      </c>
      <c r="AH204" s="304">
        <f t="shared" ca="1" si="115"/>
        <v>-22.12860345954612</v>
      </c>
    </row>
    <row r="205" spans="1:34" x14ac:dyDescent="0.2">
      <c r="A205" s="347">
        <f t="shared" ca="1" si="93"/>
        <v>0.1</v>
      </c>
      <c r="B205" s="304">
        <f t="shared" ca="1" si="94"/>
        <v>2.1000000000000014</v>
      </c>
      <c r="D205" s="306">
        <f t="shared" ca="1" si="95"/>
        <v>-4.4138251464152374</v>
      </c>
      <c r="E205" s="307">
        <f t="shared" ca="1" si="96"/>
        <v>-31.420817164888696</v>
      </c>
      <c r="F205" s="304">
        <f t="shared" ca="1" si="97"/>
        <v>31.729317731909894</v>
      </c>
      <c r="G205" s="306">
        <f t="shared" ca="1" si="98"/>
        <v>41.336494526625145</v>
      </c>
      <c r="H205" s="307">
        <f t="shared" ca="1" si="99"/>
        <v>201.40930677910734</v>
      </c>
      <c r="I205" s="304">
        <f t="shared" ca="1" si="100"/>
        <v>205.607428457705</v>
      </c>
      <c r="J205" s="306">
        <f t="shared" ca="1" si="101"/>
        <v>55.924314820102936</v>
      </c>
      <c r="K205" s="307">
        <f t="shared" ca="1" si="102"/>
        <v>283.66829468346327</v>
      </c>
      <c r="L205" s="304">
        <f t="shared" ca="1" si="87"/>
        <v>289.12839776943764</v>
      </c>
      <c r="M205" s="306">
        <f t="shared" ca="1" si="103"/>
        <v>1.36837100087367</v>
      </c>
      <c r="N205" s="304">
        <f t="shared" ca="1" si="104"/>
        <v>78.401883158153581</v>
      </c>
      <c r="P205" s="310">
        <f t="shared" ca="1" si="105"/>
        <v>23</v>
      </c>
      <c r="Q205" s="304">
        <f t="shared" ca="1" si="106"/>
        <v>0</v>
      </c>
      <c r="R205" s="306">
        <f t="shared" ca="1" si="107"/>
        <v>0</v>
      </c>
      <c r="S205" s="307">
        <f t="shared" ca="1" si="108"/>
        <v>7.4799999999999969</v>
      </c>
      <c r="T205" s="304">
        <f t="shared" ca="1" si="88"/>
        <v>73.37879999999997</v>
      </c>
      <c r="U205" s="311">
        <f t="shared" ca="1" si="89"/>
        <v>0</v>
      </c>
      <c r="V205" s="306">
        <f t="shared" ca="1" si="90"/>
        <v>1.1907366058309756</v>
      </c>
      <c r="W205" s="304">
        <f t="shared" ca="1" si="91"/>
        <v>159.69431554581149</v>
      </c>
      <c r="Y205" s="314" t="str">
        <f t="shared" ca="1" si="109"/>
        <v/>
      </c>
      <c r="Z205" s="315" t="str">
        <f t="shared" ca="1" si="110"/>
        <v/>
      </c>
      <c r="AA205" s="316" t="str">
        <f t="shared" ca="1" si="111"/>
        <v/>
      </c>
      <c r="AC205" s="310" t="e">
        <f t="shared" ca="1" si="112"/>
        <v>#N/A</v>
      </c>
      <c r="AD205" s="323" t="e">
        <f t="shared" ca="1" si="113"/>
        <v>#N/A</v>
      </c>
      <c r="AE205" s="324">
        <f t="shared" ca="1" si="92"/>
        <v>283.66829468346327</v>
      </c>
      <c r="AG205" s="306">
        <f t="shared" ca="1" si="114"/>
        <v>-31.668531864824317</v>
      </c>
      <c r="AH205" s="304">
        <f t="shared" ca="1" si="115"/>
        <v>-22.05695516061488</v>
      </c>
    </row>
    <row r="206" spans="1:34" x14ac:dyDescent="0.2">
      <c r="A206" s="347">
        <f t="shared" ca="1" si="93"/>
        <v>0.1</v>
      </c>
      <c r="B206" s="304">
        <f t="shared" ca="1" si="94"/>
        <v>2.2000000000000015</v>
      </c>
      <c r="D206" s="306">
        <f t="shared" ca="1" si="95"/>
        <v>-4.2922271995578125</v>
      </c>
      <c r="E206" s="307">
        <f t="shared" ca="1" si="96"/>
        <v>-30.723590150817948</v>
      </c>
      <c r="F206" s="304">
        <f t="shared" ca="1" si="97"/>
        <v>31.021963285518563</v>
      </c>
      <c r="G206" s="306">
        <f t="shared" ca="1" si="98"/>
        <v>40.907271806669364</v>
      </c>
      <c r="H206" s="307">
        <f t="shared" ca="1" si="99"/>
        <v>198.33694776402555</v>
      </c>
      <c r="I206" s="304">
        <f t="shared" ca="1" si="100"/>
        <v>202.51160395151319</v>
      </c>
      <c r="J206" s="306">
        <f t="shared" ca="1" si="101"/>
        <v>60.036503136767664</v>
      </c>
      <c r="K206" s="307">
        <f t="shared" ca="1" si="102"/>
        <v>303.65560741061989</v>
      </c>
      <c r="L206" s="304">
        <f t="shared" ca="1" si="87"/>
        <v>309.53369706835417</v>
      </c>
      <c r="M206" s="306">
        <f t="shared" ca="1" si="103"/>
        <v>1.3673971016817854</v>
      </c>
      <c r="N206" s="304">
        <f t="shared" ca="1" si="104"/>
        <v>78.346082844787389</v>
      </c>
      <c r="P206" s="310">
        <f t="shared" ca="1" si="105"/>
        <v>23</v>
      </c>
      <c r="Q206" s="304">
        <f t="shared" ca="1" si="106"/>
        <v>0</v>
      </c>
      <c r="R206" s="306">
        <f t="shared" ca="1" si="107"/>
        <v>0</v>
      </c>
      <c r="S206" s="307">
        <f t="shared" ca="1" si="108"/>
        <v>7.4799999999999969</v>
      </c>
      <c r="T206" s="304">
        <f t="shared" ca="1" si="88"/>
        <v>73.37879999999997</v>
      </c>
      <c r="U206" s="311">
        <f t="shared" ca="1" si="89"/>
        <v>0</v>
      </c>
      <c r="V206" s="306">
        <f t="shared" ca="1" si="90"/>
        <v>1.1883585078204104</v>
      </c>
      <c r="W206" s="304">
        <f t="shared" ca="1" si="91"/>
        <v>154.61209189809944</v>
      </c>
      <c r="Y206" s="314" t="str">
        <f t="shared" ca="1" si="109"/>
        <v/>
      </c>
      <c r="Z206" s="315" t="str">
        <f t="shared" ca="1" si="110"/>
        <v/>
      </c>
      <c r="AA206" s="316" t="str">
        <f t="shared" ca="1" si="111"/>
        <v/>
      </c>
      <c r="AC206" s="310" t="e">
        <f t="shared" ca="1" si="112"/>
        <v>#N/A</v>
      </c>
      <c r="AD206" s="323" t="e">
        <f t="shared" ca="1" si="113"/>
        <v>#N/A</v>
      </c>
      <c r="AE206" s="324">
        <f t="shared" ca="1" si="92"/>
        <v>303.65560741061989</v>
      </c>
      <c r="AG206" s="306">
        <f t="shared" ca="1" si="114"/>
        <v>-30.959205452504484</v>
      </c>
      <c r="AH206" s="304">
        <f t="shared" ca="1" si="115"/>
        <v>-21.349507425910637</v>
      </c>
    </row>
    <row r="207" spans="1:34" x14ac:dyDescent="0.2">
      <c r="A207" s="347">
        <f t="shared" ca="1" si="93"/>
        <v>0.1</v>
      </c>
      <c r="B207" s="304">
        <f t="shared" ca="1" si="94"/>
        <v>2.3000000000000016</v>
      </c>
      <c r="D207" s="306">
        <f t="shared" ca="1" si="95"/>
        <v>-4.1753459153937298</v>
      </c>
      <c r="E207" s="307">
        <f t="shared" ca="1" si="96"/>
        <v>-30.053964658214369</v>
      </c>
      <c r="F207" s="304">
        <f t="shared" ca="1" si="97"/>
        <v>30.342615332076985</v>
      </c>
      <c r="G207" s="306">
        <f t="shared" ca="1" si="98"/>
        <v>40.489737215129992</v>
      </c>
      <c r="H207" s="307">
        <f t="shared" ca="1" si="99"/>
        <v>195.33155129820412</v>
      </c>
      <c r="I207" s="304">
        <f t="shared" ca="1" si="100"/>
        <v>199.48391853057535</v>
      </c>
      <c r="J207" s="306">
        <f t="shared" ca="1" si="101"/>
        <v>64.106353587857626</v>
      </c>
      <c r="K207" s="307">
        <f t="shared" ca="1" si="102"/>
        <v>323.33903236373135</v>
      </c>
      <c r="L207" s="304">
        <f t="shared" ca="1" si="87"/>
        <v>329.63275689810553</v>
      </c>
      <c r="M207" s="306">
        <f t="shared" ca="1" si="103"/>
        <v>1.366403729963692</v>
      </c>
      <c r="N207" s="304">
        <f t="shared" ca="1" si="104"/>
        <v>78.289166837852974</v>
      </c>
      <c r="P207" s="310">
        <f t="shared" ca="1" si="105"/>
        <v>23</v>
      </c>
      <c r="Q207" s="304">
        <f t="shared" ca="1" si="106"/>
        <v>0</v>
      </c>
      <c r="R207" s="306">
        <f t="shared" ca="1" si="107"/>
        <v>0</v>
      </c>
      <c r="S207" s="307">
        <f t="shared" ca="1" si="108"/>
        <v>7.4799999999999969</v>
      </c>
      <c r="T207" s="304">
        <f t="shared" ca="1" si="88"/>
        <v>73.37879999999997</v>
      </c>
      <c r="U207" s="311">
        <f t="shared" ca="1" si="89"/>
        <v>0</v>
      </c>
      <c r="V207" s="306">
        <f t="shared" ca="1" si="90"/>
        <v>1.1860211379129364</v>
      </c>
      <c r="W207" s="304">
        <f t="shared" ca="1" si="91"/>
        <v>149.728460831554</v>
      </c>
      <c r="Y207" s="314" t="str">
        <f t="shared" ca="1" si="109"/>
        <v/>
      </c>
      <c r="Z207" s="315" t="str">
        <f t="shared" ca="1" si="110"/>
        <v/>
      </c>
      <c r="AA207" s="316" t="str">
        <f t="shared" ca="1" si="111"/>
        <v/>
      </c>
      <c r="AC207" s="310" t="e">
        <f t="shared" ca="1" si="112"/>
        <v>#N/A</v>
      </c>
      <c r="AD207" s="323" t="e">
        <f t="shared" ca="1" si="113"/>
        <v>#N/A</v>
      </c>
      <c r="AE207" s="324">
        <f t="shared" ca="1" si="92"/>
        <v>323.33903236373135</v>
      </c>
      <c r="AG207" s="306">
        <f t="shared" ca="1" si="114"/>
        <v>-30.277838450354121</v>
      </c>
      <c r="AH207" s="304">
        <f t="shared" ca="1" si="115"/>
        <v>-20.670065761778009</v>
      </c>
    </row>
    <row r="208" spans="1:34" x14ac:dyDescent="0.2">
      <c r="A208" s="347">
        <f t="shared" ca="1" si="93"/>
        <v>0.1</v>
      </c>
      <c r="B208" s="304">
        <f t="shared" ca="1" si="94"/>
        <v>2.4000000000000017</v>
      </c>
      <c r="D208" s="306">
        <f t="shared" ca="1" si="95"/>
        <v>-4.0629345828631456</v>
      </c>
      <c r="E208" s="307">
        <f t="shared" ca="1" si="96"/>
        <v>-29.410505448507195</v>
      </c>
      <c r="F208" s="304">
        <f t="shared" ca="1" si="97"/>
        <v>29.689817583833296</v>
      </c>
      <c r="G208" s="306">
        <f t="shared" ca="1" si="98"/>
        <v>40.083443756843678</v>
      </c>
      <c r="H208" s="307">
        <f t="shared" ca="1" si="99"/>
        <v>192.39050075335339</v>
      </c>
      <c r="I208" s="304">
        <f t="shared" ca="1" si="100"/>
        <v>196.52172206535877</v>
      </c>
      <c r="J208" s="306">
        <f t="shared" ca="1" si="101"/>
        <v>68.13501263645631</v>
      </c>
      <c r="K208" s="307">
        <f t="shared" ca="1" si="102"/>
        <v>342.72513496630921</v>
      </c>
      <c r="L208" s="304">
        <f t="shared" ca="1" si="87"/>
        <v>349.43225106541746</v>
      </c>
      <c r="M208" s="306">
        <f t="shared" ca="1" si="103"/>
        <v>1.365390529014173</v>
      </c>
      <c r="N208" s="304">
        <f t="shared" ca="1" si="104"/>
        <v>78.231114699646895</v>
      </c>
      <c r="P208" s="310">
        <f t="shared" ca="1" si="105"/>
        <v>23</v>
      </c>
      <c r="Q208" s="304">
        <f t="shared" ca="1" si="106"/>
        <v>0</v>
      </c>
      <c r="R208" s="306">
        <f t="shared" ca="1" si="107"/>
        <v>0</v>
      </c>
      <c r="S208" s="307">
        <f t="shared" ca="1" si="108"/>
        <v>7.4799999999999969</v>
      </c>
      <c r="T208" s="304">
        <f t="shared" ca="1" si="88"/>
        <v>73.37879999999997</v>
      </c>
      <c r="U208" s="311">
        <f t="shared" ca="1" si="89"/>
        <v>0</v>
      </c>
      <c r="V208" s="306">
        <f t="shared" ca="1" si="90"/>
        <v>1.1837234957412777</v>
      </c>
      <c r="W208" s="304">
        <f t="shared" ca="1" si="91"/>
        <v>145.03323688919411</v>
      </c>
      <c r="Y208" s="314" t="str">
        <f t="shared" ca="1" si="109"/>
        <v/>
      </c>
      <c r="Z208" s="315" t="str">
        <f t="shared" ca="1" si="110"/>
        <v/>
      </c>
      <c r="AA208" s="316" t="str">
        <f t="shared" ca="1" si="111"/>
        <v/>
      </c>
      <c r="AC208" s="310" t="e">
        <f t="shared" ca="1" si="112"/>
        <v>#N/A</v>
      </c>
      <c r="AD208" s="323" t="e">
        <f t="shared" ca="1" si="113"/>
        <v>#N/A</v>
      </c>
      <c r="AE208" s="324">
        <f t="shared" ca="1" si="92"/>
        <v>342.72513496630921</v>
      </c>
      <c r="AG208" s="306">
        <f t="shared" ca="1" si="114"/>
        <v>-29.622973374657541</v>
      </c>
      <c r="AH208" s="304">
        <f t="shared" ca="1" si="115"/>
        <v>-20.017173907961773</v>
      </c>
    </row>
    <row r="209" spans="1:34" x14ac:dyDescent="0.2">
      <c r="A209" s="347">
        <f t="shared" ca="1" si="93"/>
        <v>0.1</v>
      </c>
      <c r="B209" s="304">
        <f t="shared" ca="1" si="94"/>
        <v>2.5000000000000018</v>
      </c>
      <c r="D209" s="306">
        <f t="shared" ca="1" si="95"/>
        <v>-3.9547625013686667</v>
      </c>
      <c r="E209" s="307">
        <f t="shared" ca="1" si="96"/>
        <v>-28.791870485342123</v>
      </c>
      <c r="F209" s="304">
        <f t="shared" ca="1" si="97"/>
        <v>29.062208320892385</v>
      </c>
      <c r="G209" s="306">
        <f t="shared" ca="1" si="98"/>
        <v>39.687967506706812</v>
      </c>
      <c r="H209" s="307">
        <f t="shared" ca="1" si="99"/>
        <v>189.51131370481917</v>
      </c>
      <c r="I209" s="304">
        <f t="shared" ca="1" si="100"/>
        <v>193.62250072483778</v>
      </c>
      <c r="J209" s="306">
        <f t="shared" ca="1" si="101"/>
        <v>72.123583199633828</v>
      </c>
      <c r="K209" s="307">
        <f t="shared" ca="1" si="102"/>
        <v>361.82022568921786</v>
      </c>
      <c r="L209" s="304">
        <f t="shared" ca="1" si="87"/>
        <v>368.93859512302458</v>
      </c>
      <c r="M209" s="306">
        <f t="shared" ca="1" si="103"/>
        <v>1.3643571307555133</v>
      </c>
      <c r="N209" s="304">
        <f t="shared" ca="1" si="104"/>
        <v>78.171905340869515</v>
      </c>
      <c r="P209" s="310">
        <f t="shared" ca="1" si="105"/>
        <v>23</v>
      </c>
      <c r="Q209" s="304">
        <f t="shared" ca="1" si="106"/>
        <v>0</v>
      </c>
      <c r="R209" s="306">
        <f t="shared" ca="1" si="107"/>
        <v>0</v>
      </c>
      <c r="S209" s="307">
        <f t="shared" ca="1" si="108"/>
        <v>7.4799999999999969</v>
      </c>
      <c r="T209" s="304">
        <f t="shared" ca="1" si="88"/>
        <v>73.37879999999997</v>
      </c>
      <c r="U209" s="311">
        <f t="shared" ca="1" si="89"/>
        <v>0</v>
      </c>
      <c r="V209" s="306">
        <f t="shared" ca="1" si="90"/>
        <v>1.181464621378977</v>
      </c>
      <c r="W209" s="304">
        <f t="shared" ca="1" si="91"/>
        <v>140.51688729634785</v>
      </c>
      <c r="Y209" s="314" t="str">
        <f t="shared" ca="1" si="109"/>
        <v/>
      </c>
      <c r="Z209" s="315" t="str">
        <f t="shared" ca="1" si="110"/>
        <v/>
      </c>
      <c r="AA209" s="316" t="str">
        <f t="shared" ca="1" si="111"/>
        <v/>
      </c>
      <c r="AC209" s="310" t="e">
        <f t="shared" ca="1" si="112"/>
        <v>#N/A</v>
      </c>
      <c r="AD209" s="323" t="e">
        <f t="shared" ca="1" si="113"/>
        <v>#N/A</v>
      </c>
      <c r="AE209" s="324">
        <f t="shared" ca="1" si="92"/>
        <v>361.82022568921786</v>
      </c>
      <c r="AG209" s="306">
        <f t="shared" ca="1" si="114"/>
        <v>-28.993247264040306</v>
      </c>
      <c r="AH209" s="304">
        <f t="shared" ca="1" si="115"/>
        <v>-19.389470172352162</v>
      </c>
    </row>
    <row r="210" spans="1:34" x14ac:dyDescent="0.2">
      <c r="A210" s="347">
        <f t="shared" ca="1" si="93"/>
        <v>0.1</v>
      </c>
      <c r="B210" s="304">
        <f t="shared" ca="1" si="94"/>
        <v>2.6000000000000019</v>
      </c>
      <c r="D210" s="306">
        <f t="shared" ca="1" si="95"/>
        <v>-3.8506137427015688</v>
      </c>
      <c r="E210" s="307">
        <f t="shared" ca="1" si="96"/>
        <v>-28.196803729011521</v>
      </c>
      <c r="F210" s="304">
        <f t="shared" ca="1" si="97"/>
        <v>28.458513080058843</v>
      </c>
      <c r="G210" s="306">
        <f t="shared" ca="1" si="98"/>
        <v>39.302906132436654</v>
      </c>
      <c r="H210" s="307">
        <f t="shared" ca="1" si="99"/>
        <v>186.69163333191801</v>
      </c>
      <c r="I210" s="304">
        <f t="shared" ca="1" si="100"/>
        <v>190.78386825566372</v>
      </c>
      <c r="J210" s="306">
        <f t="shared" ca="1" si="101"/>
        <v>76.073126881591008</v>
      </c>
      <c r="K210" s="307">
        <f t="shared" ca="1" si="102"/>
        <v>380.63037304105472</v>
      </c>
      <c r="L210" s="304">
        <f t="shared" ca="1" si="87"/>
        <v>388.15795948932328</v>
      </c>
      <c r="M210" s="306">
        <f t="shared" ca="1" si="103"/>
        <v>1.3633031553634749</v>
      </c>
      <c r="N210" s="304">
        <f t="shared" ca="1" si="104"/>
        <v>78.111516999195075</v>
      </c>
      <c r="P210" s="310">
        <f t="shared" ca="1" si="105"/>
        <v>23</v>
      </c>
      <c r="Q210" s="304">
        <f t="shared" ca="1" si="106"/>
        <v>0</v>
      </c>
      <c r="R210" s="306">
        <f t="shared" ca="1" si="107"/>
        <v>0</v>
      </c>
      <c r="S210" s="307">
        <f t="shared" ca="1" si="108"/>
        <v>7.4799999999999969</v>
      </c>
      <c r="T210" s="304">
        <f t="shared" ca="1" si="88"/>
        <v>73.37879999999997</v>
      </c>
      <c r="U210" s="311">
        <f t="shared" ca="1" si="89"/>
        <v>0</v>
      </c>
      <c r="V210" s="306">
        <f t="shared" ca="1" si="90"/>
        <v>1.1792435932117131</v>
      </c>
      <c r="W210" s="304">
        <f t="shared" ca="1" si="91"/>
        <v>136.17048216427352</v>
      </c>
      <c r="Y210" s="314" t="str">
        <f t="shared" ca="1" si="109"/>
        <v/>
      </c>
      <c r="Z210" s="315" t="str">
        <f t="shared" ca="1" si="110"/>
        <v/>
      </c>
      <c r="AA210" s="316" t="str">
        <f t="shared" ca="1" si="111"/>
        <v/>
      </c>
      <c r="AC210" s="310" t="e">
        <f t="shared" ca="1" si="112"/>
        <v>#N/A</v>
      </c>
      <c r="AD210" s="323" t="e">
        <f t="shared" ca="1" si="113"/>
        <v>#N/A</v>
      </c>
      <c r="AE210" s="324">
        <f t="shared" ca="1" si="92"/>
        <v>380.63037304105472</v>
      </c>
      <c r="AG210" s="306">
        <f t="shared" ca="1" si="114"/>
        <v>-28.387384366418608</v>
      </c>
      <c r="AH210" s="304">
        <f t="shared" ca="1" si="115"/>
        <v>-18.785680119832609</v>
      </c>
    </row>
    <row r="211" spans="1:34" x14ac:dyDescent="0.2">
      <c r="A211" s="347">
        <f t="shared" ca="1" si="93"/>
        <v>0.1</v>
      </c>
      <c r="B211" s="304">
        <f t="shared" ca="1" si="94"/>
        <v>2.700000000000002</v>
      </c>
      <c r="D211" s="306">
        <f t="shared" ca="1" si="95"/>
        <v>-3.7502860237032469</v>
      </c>
      <c r="E211" s="307">
        <f t="shared" ca="1" si="96"/>
        <v>-27.624128575321627</v>
      </c>
      <c r="F211" s="304">
        <f t="shared" ca="1" si="97"/>
        <v>27.877537997561493</v>
      </c>
      <c r="G211" s="306">
        <f t="shared" ca="1" si="98"/>
        <v>38.927877530066326</v>
      </c>
      <c r="H211" s="307">
        <f t="shared" ca="1" si="99"/>
        <v>183.92922047438586</v>
      </c>
      <c r="I211" s="304">
        <f t="shared" ca="1" si="100"/>
        <v>188.0035579272666</v>
      </c>
      <c r="J211" s="306">
        <f t="shared" ca="1" si="101"/>
        <v>79.984666064716151</v>
      </c>
      <c r="K211" s="307">
        <f t="shared" ca="1" si="102"/>
        <v>399.16141573136991</v>
      </c>
      <c r="L211" s="304">
        <f t="shared" ca="1" si="87"/>
        <v>407.09628174936171</v>
      </c>
      <c r="M211" s="306">
        <f t="shared" ca="1" si="103"/>
        <v>1.3622282108763399</v>
      </c>
      <c r="N211" s="304">
        <f t="shared" ca="1" si="104"/>
        <v>78.049927216871382</v>
      </c>
      <c r="P211" s="310">
        <f t="shared" ca="1" si="105"/>
        <v>23</v>
      </c>
      <c r="Q211" s="304">
        <f t="shared" ca="1" si="106"/>
        <v>0</v>
      </c>
      <c r="R211" s="306">
        <f t="shared" ca="1" si="107"/>
        <v>0</v>
      </c>
      <c r="S211" s="307">
        <f t="shared" ca="1" si="108"/>
        <v>7.4799999999999969</v>
      </c>
      <c r="T211" s="304">
        <f t="shared" ca="1" si="88"/>
        <v>73.37879999999997</v>
      </c>
      <c r="U211" s="311">
        <f t="shared" ca="1" si="89"/>
        <v>0</v>
      </c>
      <c r="V211" s="306">
        <f t="shared" ca="1" si="90"/>
        <v>1.1770595259475869</v>
      </c>
      <c r="W211" s="304">
        <f t="shared" ca="1" si="91"/>
        <v>131.98564908961816</v>
      </c>
      <c r="Y211" s="314" t="str">
        <f t="shared" ca="1" si="109"/>
        <v/>
      </c>
      <c r="Z211" s="315" t="str">
        <f t="shared" ca="1" si="110"/>
        <v/>
      </c>
      <c r="AA211" s="316" t="str">
        <f t="shared" ca="1" si="111"/>
        <v/>
      </c>
      <c r="AC211" s="310" t="e">
        <f t="shared" ca="1" si="112"/>
        <v>#N/A</v>
      </c>
      <c r="AD211" s="323" t="e">
        <f t="shared" ca="1" si="113"/>
        <v>#N/A</v>
      </c>
      <c r="AE211" s="324">
        <f t="shared" ca="1" si="92"/>
        <v>399.16141573136991</v>
      </c>
      <c r="AG211" s="306">
        <f t="shared" ca="1" si="114"/>
        <v>-27.804189479734102</v>
      </c>
      <c r="AH211" s="304">
        <f t="shared" ca="1" si="115"/>
        <v>-18.204609915009836</v>
      </c>
    </row>
    <row r="212" spans="1:34" x14ac:dyDescent="0.2">
      <c r="A212" s="347">
        <f t="shared" ca="1" si="93"/>
        <v>0.1</v>
      </c>
      <c r="B212" s="304">
        <f t="shared" ca="1" si="94"/>
        <v>2.800000000000002</v>
      </c>
      <c r="D212" s="306">
        <f t="shared" ca="1" si="95"/>
        <v>-3.6535896784500248</v>
      </c>
      <c r="E212" s="307">
        <f t="shared" ca="1" si="96"/>
        <v>-27.072741873649484</v>
      </c>
      <c r="F212" s="304">
        <f t="shared" ca="1" si="97"/>
        <v>27.318163739456036</v>
      </c>
      <c r="G212" s="306">
        <f t="shared" ca="1" si="98"/>
        <v>38.562518562221321</v>
      </c>
      <c r="H212" s="307">
        <f t="shared" ca="1" si="99"/>
        <v>181.2219462870209</v>
      </c>
      <c r="I212" s="304">
        <f t="shared" ca="1" si="100"/>
        <v>185.27941508413059</v>
      </c>
      <c r="J212" s="306">
        <f t="shared" ca="1" si="101"/>
        <v>83.859185869330531</v>
      </c>
      <c r="K212" s="307">
        <f t="shared" ca="1" si="102"/>
        <v>417.41897406944025</v>
      </c>
      <c r="L212" s="304">
        <f t="shared" ca="1" si="87"/>
        <v>425.75927819350096</v>
      </c>
      <c r="M212" s="306">
        <f t="shared" ca="1" si="103"/>
        <v>1.3611318927862397</v>
      </c>
      <c r="N212" s="304">
        <f t="shared" ca="1" si="104"/>
        <v>77.987112817304791</v>
      </c>
      <c r="P212" s="310">
        <f t="shared" ca="1" si="105"/>
        <v>23</v>
      </c>
      <c r="Q212" s="304">
        <f t="shared" ca="1" si="106"/>
        <v>0</v>
      </c>
      <c r="R212" s="306">
        <f t="shared" ca="1" si="107"/>
        <v>0</v>
      </c>
      <c r="S212" s="307">
        <f t="shared" ca="1" si="108"/>
        <v>7.4799999999999969</v>
      </c>
      <c r="T212" s="304">
        <f t="shared" ca="1" si="88"/>
        <v>73.37879999999997</v>
      </c>
      <c r="U212" s="311">
        <f t="shared" ca="1" si="89"/>
        <v>0</v>
      </c>
      <c r="V212" s="306">
        <f t="shared" ca="1" si="90"/>
        <v>1.174911568755632</v>
      </c>
      <c r="W212" s="304">
        <f t="shared" ca="1" si="91"/>
        <v>127.95453171035668</v>
      </c>
      <c r="Y212" s="314" t="str">
        <f t="shared" ca="1" si="109"/>
        <v/>
      </c>
      <c r="Z212" s="315" t="str">
        <f t="shared" ca="1" si="110"/>
        <v/>
      </c>
      <c r="AA212" s="316" t="str">
        <f t="shared" ca="1" si="111"/>
        <v/>
      </c>
      <c r="AC212" s="310" t="e">
        <f t="shared" ca="1" si="112"/>
        <v>#N/A</v>
      </c>
      <c r="AD212" s="323" t="e">
        <f t="shared" ca="1" si="113"/>
        <v>#N/A</v>
      </c>
      <c r="AE212" s="324">
        <f t="shared" ca="1" si="92"/>
        <v>417.41897406944025</v>
      </c>
      <c r="AG212" s="306">
        <f t="shared" ca="1" si="114"/>
        <v>-27.242541880265232</v>
      </c>
      <c r="AH212" s="304">
        <f t="shared" ca="1" si="115"/>
        <v>-17.645140252622756</v>
      </c>
    </row>
    <row r="213" spans="1:34" x14ac:dyDescent="0.2">
      <c r="A213" s="347">
        <f t="shared" ca="1" si="93"/>
        <v>0.1</v>
      </c>
      <c r="B213" s="304">
        <f t="shared" ca="1" si="94"/>
        <v>2.9000000000000021</v>
      </c>
      <c r="D213" s="306">
        <f t="shared" ca="1" si="95"/>
        <v>-3.560346720013901</v>
      </c>
      <c r="E213" s="307">
        <f t="shared" ca="1" si="96"/>
        <v>-26.541608466300438</v>
      </c>
      <c r="F213" s="304">
        <f t="shared" ca="1" si="97"/>
        <v>26.779339960968137</v>
      </c>
      <c r="G213" s="306">
        <f t="shared" ca="1" si="98"/>
        <v>38.206483890219928</v>
      </c>
      <c r="H213" s="307">
        <f t="shared" ca="1" si="99"/>
        <v>178.56778544039085</v>
      </c>
      <c r="I213" s="304">
        <f t="shared" ca="1" si="100"/>
        <v>182.60939025236107</v>
      </c>
      <c r="J213" s="306">
        <f t="shared" ca="1" si="101"/>
        <v>87.697635991952595</v>
      </c>
      <c r="K213" s="307">
        <f t="shared" ca="1" si="102"/>
        <v>435.40846065581081</v>
      </c>
      <c r="L213" s="304">
        <f t="shared" ca="1" si="87"/>
        <v>444.15245464732016</v>
      </c>
      <c r="M213" s="306">
        <f t="shared" ca="1" si="103"/>
        <v>1.3600137836119379</v>
      </c>
      <c r="N213" s="304">
        <f t="shared" ca="1" si="104"/>
        <v>77.923049880582454</v>
      </c>
      <c r="P213" s="310">
        <f t="shared" ca="1" si="105"/>
        <v>23</v>
      </c>
      <c r="Q213" s="304">
        <f t="shared" ca="1" si="106"/>
        <v>0</v>
      </c>
      <c r="R213" s="306">
        <f t="shared" ca="1" si="107"/>
        <v>0</v>
      </c>
      <c r="S213" s="307">
        <f t="shared" ca="1" si="108"/>
        <v>7.4799999999999969</v>
      </c>
      <c r="T213" s="304">
        <f t="shared" ca="1" si="88"/>
        <v>73.37879999999997</v>
      </c>
      <c r="U213" s="311">
        <f t="shared" ca="1" si="89"/>
        <v>0</v>
      </c>
      <c r="V213" s="306">
        <f t="shared" ca="1" si="90"/>
        <v>1.1727989035227486</v>
      </c>
      <c r="W213" s="304">
        <f t="shared" ca="1" si="91"/>
        <v>124.06975182777619</v>
      </c>
      <c r="Y213" s="314" t="str">
        <f t="shared" ca="1" si="109"/>
        <v/>
      </c>
      <c r="Z213" s="315" t="str">
        <f t="shared" ca="1" si="110"/>
        <v/>
      </c>
      <c r="AA213" s="316" t="str">
        <f t="shared" ca="1" si="111"/>
        <v/>
      </c>
      <c r="AC213" s="310" t="e">
        <f t="shared" ca="1" si="112"/>
        <v>#N/A</v>
      </c>
      <c r="AD213" s="323" t="e">
        <f t="shared" ca="1" si="113"/>
        <v>#N/A</v>
      </c>
      <c r="AE213" s="324">
        <f t="shared" ca="1" si="92"/>
        <v>435.40846065581081</v>
      </c>
      <c r="AG213" s="306">
        <f t="shared" ca="1" si="114"/>
        <v>-26.701389779771883</v>
      </c>
      <c r="AH213" s="304">
        <f t="shared" ca="1" si="115"/>
        <v>-17.106220816892613</v>
      </c>
    </row>
    <row r="214" spans="1:34" x14ac:dyDescent="0.2">
      <c r="A214" s="347">
        <f t="shared" ca="1" si="93"/>
        <v>0.1</v>
      </c>
      <c r="B214" s="304">
        <f t="shared" ca="1" si="94"/>
        <v>3.0000000000000022</v>
      </c>
      <c r="D214" s="306">
        <f t="shared" ca="1" si="95"/>
        <v>-3.4703899829595146</v>
      </c>
      <c r="E214" s="307">
        <f t="shared" ca="1" si="96"/>
        <v>-26.029756197722939</v>
      </c>
      <c r="F214" s="304">
        <f t="shared" ca="1" si="97"/>
        <v>26.26008024257964</v>
      </c>
      <c r="G214" s="306">
        <f t="shared" ca="1" si="98"/>
        <v>37.859444891923978</v>
      </c>
      <c r="H214" s="307">
        <f t="shared" ca="1" si="99"/>
        <v>175.96480982061857</v>
      </c>
      <c r="I214" s="304">
        <f t="shared" ca="1" si="100"/>
        <v>179.99153275288003</v>
      </c>
      <c r="J214" s="306">
        <f t="shared" ca="1" si="101"/>
        <v>91.500932431059795</v>
      </c>
      <c r="K214" s="307">
        <f t="shared" ca="1" si="102"/>
        <v>453.1350904188613</v>
      </c>
      <c r="L214" s="304">
        <f t="shared" ca="1" si="87"/>
        <v>462.28111664296108</v>
      </c>
      <c r="M214" s="306">
        <f t="shared" ca="1" si="103"/>
        <v>1.358873452452193</v>
      </c>
      <c r="N214" s="304">
        <f t="shared" ca="1" si="104"/>
        <v>77.857713717881808</v>
      </c>
      <c r="P214" s="310">
        <f t="shared" ca="1" si="105"/>
        <v>23</v>
      </c>
      <c r="Q214" s="304">
        <f t="shared" ca="1" si="106"/>
        <v>0</v>
      </c>
      <c r="R214" s="306">
        <f t="shared" ca="1" si="107"/>
        <v>0</v>
      </c>
      <c r="S214" s="307">
        <f t="shared" ca="1" si="108"/>
        <v>7.4799999999999969</v>
      </c>
      <c r="T214" s="304">
        <f t="shared" ca="1" si="88"/>
        <v>73.37879999999997</v>
      </c>
      <c r="U214" s="311">
        <f t="shared" ca="1" si="89"/>
        <v>0</v>
      </c>
      <c r="V214" s="306">
        <f t="shared" ca="1" si="90"/>
        <v>1.1707207432201303</v>
      </c>
      <c r="W214" s="304">
        <f t="shared" ca="1" si="91"/>
        <v>120.32437474699445</v>
      </c>
      <c r="Y214" s="314" t="str">
        <f t="shared" ca="1" si="109"/>
        <v/>
      </c>
      <c r="Z214" s="315" t="str">
        <f t="shared" ca="1" si="110"/>
        <v/>
      </c>
      <c r="AA214" s="316" t="str">
        <f t="shared" ca="1" si="111"/>
        <v/>
      </c>
      <c r="AC214" s="310">
        <f t="shared" ca="1" si="112"/>
        <v>3.0000000000000022</v>
      </c>
      <c r="AD214" s="323">
        <f t="shared" ca="1" si="113"/>
        <v>91.500932431059795</v>
      </c>
      <c r="AE214" s="324">
        <f t="shared" ca="1" si="92"/>
        <v>453.1350904188613</v>
      </c>
      <c r="AG214" s="306">
        <f t="shared" ca="1" si="114"/>
        <v>-26.179745259269794</v>
      </c>
      <c r="AH214" s="304">
        <f t="shared" ca="1" si="115"/>
        <v>-16.586865217617145</v>
      </c>
    </row>
    <row r="215" spans="1:34" x14ac:dyDescent="0.2">
      <c r="A215" s="347">
        <f t="shared" ca="1" si="93"/>
        <v>0.1</v>
      </c>
      <c r="B215" s="304">
        <f t="shared" ca="1" si="94"/>
        <v>3.1000000000000023</v>
      </c>
      <c r="D215" s="306">
        <f t="shared" ca="1" si="95"/>
        <v>-3.3835623387094356</v>
      </c>
      <c r="E215" s="307">
        <f t="shared" ca="1" si="96"/>
        <v>-25.536271347793033</v>
      </c>
      <c r="F215" s="304">
        <f t="shared" ca="1" si="97"/>
        <v>25.759457456399353</v>
      </c>
      <c r="G215" s="306">
        <f t="shared" ca="1" si="98"/>
        <v>37.521088658053031</v>
      </c>
      <c r="H215" s="307">
        <f t="shared" ca="1" si="99"/>
        <v>173.41118268583926</v>
      </c>
      <c r="I215" s="304">
        <f t="shared" ca="1" si="100"/>
        <v>177.42398477823394</v>
      </c>
      <c r="J215" s="306">
        <f t="shared" ca="1" si="101"/>
        <v>95.269959108558652</v>
      </c>
      <c r="K215" s="307">
        <f t="shared" ca="1" si="102"/>
        <v>470.6038900441842</v>
      </c>
      <c r="L215" s="304">
        <f t="shared" ca="1" si="87"/>
        <v>480.1503789785707</v>
      </c>
      <c r="M215" s="306">
        <f t="shared" ca="1" si="103"/>
        <v>1.357710454518767</v>
      </c>
      <c r="N215" s="304">
        <f t="shared" ca="1" si="104"/>
        <v>77.791078844714065</v>
      </c>
      <c r="P215" s="310">
        <f t="shared" ca="1" si="105"/>
        <v>23</v>
      </c>
      <c r="Q215" s="304">
        <f t="shared" ca="1" si="106"/>
        <v>0</v>
      </c>
      <c r="R215" s="306">
        <f t="shared" ca="1" si="107"/>
        <v>0</v>
      </c>
      <c r="S215" s="307">
        <f t="shared" ca="1" si="108"/>
        <v>7.4799999999999969</v>
      </c>
      <c r="T215" s="304">
        <f t="shared" ca="1" si="88"/>
        <v>73.37879999999997</v>
      </c>
      <c r="U215" s="311">
        <f t="shared" ca="1" si="89"/>
        <v>0</v>
      </c>
      <c r="V215" s="306">
        <f t="shared" ca="1" si="90"/>
        <v>1.168676330371035</v>
      </c>
      <c r="W215" s="304">
        <f t="shared" ca="1" si="91"/>
        <v>116.71187752624242</v>
      </c>
      <c r="Y215" s="314" t="str">
        <f t="shared" ca="1" si="109"/>
        <v/>
      </c>
      <c r="Z215" s="315" t="str">
        <f t="shared" ca="1" si="110"/>
        <v/>
      </c>
      <c r="AA215" s="316" t="str">
        <f t="shared" ca="1" si="111"/>
        <v/>
      </c>
      <c r="AC215" s="310" t="e">
        <f t="shared" ca="1" si="112"/>
        <v>#N/A</v>
      </c>
      <c r="AD215" s="323" t="e">
        <f t="shared" ca="1" si="113"/>
        <v>#N/A</v>
      </c>
      <c r="AE215" s="324">
        <f t="shared" ca="1" si="92"/>
        <v>470.6038900441842</v>
      </c>
      <c r="AG215" s="306">
        <f t="shared" ca="1" si="114"/>
        <v>-25.676679632969687</v>
      </c>
      <c r="AH215" s="304">
        <f t="shared" ca="1" si="115"/>
        <v>-16.086146356550067</v>
      </c>
    </row>
    <row r="216" spans="1:34" x14ac:dyDescent="0.2">
      <c r="A216" s="347">
        <f t="shared" ca="1" si="93"/>
        <v>0.1</v>
      </c>
      <c r="B216" s="304">
        <f t="shared" ca="1" si="94"/>
        <v>3.2000000000000024</v>
      </c>
      <c r="D216" s="306">
        <f t="shared" ca="1" si="95"/>
        <v>-3.2997159767644622</v>
      </c>
      <c r="E216" s="307">
        <f t="shared" ca="1" si="96"/>
        <v>-25.060294448353474</v>
      </c>
      <c r="F216" s="304">
        <f t="shared" ca="1" si="97"/>
        <v>25.276599521404982</v>
      </c>
      <c r="G216" s="306">
        <f t="shared" ca="1" si="98"/>
        <v>37.191117060376584</v>
      </c>
      <c r="H216" s="307">
        <f t="shared" ca="1" si="99"/>
        <v>170.90515324100392</v>
      </c>
      <c r="I216" s="304">
        <f t="shared" ca="1" si="100"/>
        <v>174.90497589413994</v>
      </c>
      <c r="J216" s="306">
        <f t="shared" ca="1" si="101"/>
        <v>99.005569394480133</v>
      </c>
      <c r="K216" s="307">
        <f t="shared" ca="1" si="102"/>
        <v>487.81970684052635</v>
      </c>
      <c r="L216" s="304">
        <f t="shared" ca="1" si="87"/>
        <v>497.7651747090211</v>
      </c>
      <c r="M216" s="306">
        <f t="shared" ca="1" si="103"/>
        <v>1.3565243306480959</v>
      </c>
      <c r="N216" s="304">
        <f t="shared" ca="1" si="104"/>
        <v>77.723118952944887</v>
      </c>
      <c r="P216" s="310">
        <f t="shared" ca="1" si="105"/>
        <v>23</v>
      </c>
      <c r="Q216" s="304">
        <f t="shared" ca="1" si="106"/>
        <v>0</v>
      </c>
      <c r="R216" s="306">
        <f t="shared" ca="1" si="107"/>
        <v>0</v>
      </c>
      <c r="S216" s="307">
        <f t="shared" ca="1" si="108"/>
        <v>7.4799999999999969</v>
      </c>
      <c r="T216" s="304">
        <f t="shared" ca="1" si="88"/>
        <v>73.37879999999997</v>
      </c>
      <c r="U216" s="311">
        <f t="shared" ca="1" si="89"/>
        <v>0</v>
      </c>
      <c r="V216" s="306">
        <f t="shared" ca="1" si="90"/>
        <v>1.1666649356124386</v>
      </c>
      <c r="W216" s="304">
        <f t="shared" ca="1" si="91"/>
        <v>113.2261198583642</v>
      </c>
      <c r="Y216" s="314" t="str">
        <f t="shared" ca="1" si="109"/>
        <v/>
      </c>
      <c r="Z216" s="315" t="str">
        <f t="shared" ca="1" si="110"/>
        <v/>
      </c>
      <c r="AA216" s="316" t="str">
        <f t="shared" ca="1" si="111"/>
        <v/>
      </c>
      <c r="AC216" s="310" t="e">
        <f t="shared" ca="1" si="112"/>
        <v>#N/A</v>
      </c>
      <c r="AD216" s="323" t="e">
        <f t="shared" ca="1" si="113"/>
        <v>#N/A</v>
      </c>
      <c r="AE216" s="324">
        <f t="shared" ca="1" si="92"/>
        <v>487.81970684052635</v>
      </c>
      <c r="AG216" s="306">
        <f t="shared" ca="1" si="114"/>
        <v>-25.191319200960912</v>
      </c>
      <c r="AH216" s="304">
        <f t="shared" ca="1" si="115"/>
        <v>-15.603192182652736</v>
      </c>
    </row>
    <row r="217" spans="1:34" x14ac:dyDescent="0.2">
      <c r="A217" s="347">
        <f t="shared" ca="1" si="93"/>
        <v>0.1</v>
      </c>
      <c r="B217" s="304">
        <f t="shared" ca="1" si="94"/>
        <v>3.3000000000000025</v>
      </c>
      <c r="D217" s="306">
        <f t="shared" ca="1" si="95"/>
        <v>-3.2187117455178269</v>
      </c>
      <c r="E217" s="307">
        <f t="shared" ca="1" si="96"/>
        <v>-24.601016446570085</v>
      </c>
      <c r="F217" s="304">
        <f t="shared" ca="1" si="97"/>
        <v>24.810685510584875</v>
      </c>
      <c r="G217" s="306">
        <f t="shared" ca="1" si="98"/>
        <v>36.869245885824803</v>
      </c>
      <c r="H217" s="307">
        <f t="shared" ca="1" si="99"/>
        <v>168.4450515963469</v>
      </c>
      <c r="I217" s="304">
        <f t="shared" ca="1" si="100"/>
        <v>172.43281793059398</v>
      </c>
      <c r="J217" s="306">
        <f t="shared" ca="1" si="101"/>
        <v>102.70858754179021</v>
      </c>
      <c r="K217" s="307">
        <f t="shared" ca="1" si="102"/>
        <v>504.78721708239391</v>
      </c>
      <c r="L217" s="304">
        <f t="shared" ca="1" si="87"/>
        <v>515.13026360777667</v>
      </c>
      <c r="M217" s="306">
        <f t="shared" ca="1" si="103"/>
        <v>1.3553146067905752</v>
      </c>
      <c r="N217" s="304">
        <f t="shared" ca="1" si="104"/>
        <v>77.65380688153266</v>
      </c>
      <c r="P217" s="310">
        <f t="shared" ca="1" si="105"/>
        <v>23</v>
      </c>
      <c r="Q217" s="304">
        <f t="shared" ca="1" si="106"/>
        <v>0</v>
      </c>
      <c r="R217" s="306">
        <f t="shared" ca="1" si="107"/>
        <v>0</v>
      </c>
      <c r="S217" s="307">
        <f t="shared" ca="1" si="108"/>
        <v>7.4799999999999969</v>
      </c>
      <c r="T217" s="304">
        <f t="shared" ca="1" si="88"/>
        <v>73.37879999999997</v>
      </c>
      <c r="U217" s="311">
        <f t="shared" ca="1" si="89"/>
        <v>0</v>
      </c>
      <c r="V217" s="306">
        <f t="shared" ca="1" si="90"/>
        <v>1.1646858563437541</v>
      </c>
      <c r="W217" s="304">
        <f t="shared" ca="1" si="91"/>
        <v>109.86131733729681</v>
      </c>
      <c r="Y217" s="314" t="str">
        <f t="shared" ca="1" si="109"/>
        <v/>
      </c>
      <c r="Z217" s="315" t="str">
        <f t="shared" ca="1" si="110"/>
        <v/>
      </c>
      <c r="AA217" s="316" t="str">
        <f t="shared" ca="1" si="111"/>
        <v/>
      </c>
      <c r="AC217" s="310" t="e">
        <f t="shared" ca="1" si="112"/>
        <v>#N/A</v>
      </c>
      <c r="AD217" s="323" t="e">
        <f t="shared" ca="1" si="113"/>
        <v>#N/A</v>
      </c>
      <c r="AE217" s="324">
        <f t="shared" ca="1" si="92"/>
        <v>504.78721708239391</v>
      </c>
      <c r="AG217" s="306">
        <f t="shared" ca="1" si="114"/>
        <v>-24.722841353660762</v>
      </c>
      <c r="AH217" s="304">
        <f t="shared" ca="1" si="115"/>
        <v>-15.137181799246557</v>
      </c>
    </row>
    <row r="218" spans="1:34" x14ac:dyDescent="0.2">
      <c r="A218" s="347">
        <f t="shared" ca="1" si="93"/>
        <v>0.1</v>
      </c>
      <c r="B218" s="304">
        <f t="shared" ca="1" si="94"/>
        <v>3.4000000000000026</v>
      </c>
      <c r="D218" s="306">
        <f t="shared" ca="1" si="95"/>
        <v>-3.140418547065825</v>
      </c>
      <c r="E218" s="307">
        <f t="shared" ca="1" si="96"/>
        <v>-24.157675182529545</v>
      </c>
      <c r="F218" s="304">
        <f t="shared" ca="1" si="97"/>
        <v>24.360942076926314</v>
      </c>
      <c r="G218" s="306">
        <f t="shared" ca="1" si="98"/>
        <v>36.555204031118222</v>
      </c>
      <c r="H218" s="307">
        <f t="shared" ca="1" si="99"/>
        <v>166.02928407809395</v>
      </c>
      <c r="I218" s="304">
        <f t="shared" ca="1" si="100"/>
        <v>170.0059002306717</v>
      </c>
      <c r="J218" s="306">
        <f t="shared" ca="1" si="101"/>
        <v>106.37981003763736</v>
      </c>
      <c r="K218" s="307">
        <f t="shared" ca="1" si="102"/>
        <v>521.51093386611592</v>
      </c>
      <c r="L218" s="304">
        <f t="shared" ca="1" si="87"/>
        <v>532.25024013667871</v>
      </c>
      <c r="M218" s="306">
        <f t="shared" ca="1" si="103"/>
        <v>1.354080793476357</v>
      </c>
      <c r="N218" s="304">
        <f t="shared" ca="1" si="104"/>
        <v>77.58311458592091</v>
      </c>
      <c r="P218" s="310">
        <f t="shared" ca="1" si="105"/>
        <v>23</v>
      </c>
      <c r="Q218" s="304">
        <f t="shared" ca="1" si="106"/>
        <v>0</v>
      </c>
      <c r="R218" s="306">
        <f t="shared" ca="1" si="107"/>
        <v>0</v>
      </c>
      <c r="S218" s="307">
        <f t="shared" ca="1" si="108"/>
        <v>7.4799999999999969</v>
      </c>
      <c r="T218" s="304">
        <f t="shared" ca="1" si="88"/>
        <v>73.37879999999997</v>
      </c>
      <c r="U218" s="311">
        <f t="shared" ca="1" si="89"/>
        <v>0</v>
      </c>
      <c r="V218" s="306">
        <f t="shared" ca="1" si="90"/>
        <v>1.1627384154563674</v>
      </c>
      <c r="W218" s="304">
        <f t="shared" ca="1" si="91"/>
        <v>106.61201688818029</v>
      </c>
      <c r="Y218" s="314" t="str">
        <f t="shared" ca="1" si="109"/>
        <v/>
      </c>
      <c r="Z218" s="315" t="str">
        <f t="shared" ca="1" si="110"/>
        <v/>
      </c>
      <c r="AA218" s="316" t="str">
        <f t="shared" ca="1" si="111"/>
        <v/>
      </c>
      <c r="AC218" s="310" t="e">
        <f t="shared" ca="1" si="112"/>
        <v>#N/A</v>
      </c>
      <c r="AD218" s="323" t="e">
        <f t="shared" ca="1" si="113"/>
        <v>#N/A</v>
      </c>
      <c r="AE218" s="324">
        <f t="shared" ca="1" si="92"/>
        <v>521.51093386611592</v>
      </c>
      <c r="AG218" s="306">
        <f t="shared" ca="1" si="114"/>
        <v>-24.27047099496842</v>
      </c>
      <c r="AH218" s="304">
        <f t="shared" ca="1" si="115"/>
        <v>-14.687341890012949</v>
      </c>
    </row>
    <row r="219" spans="1:34" x14ac:dyDescent="0.2">
      <c r="A219" s="347">
        <f t="shared" ca="1" si="93"/>
        <v>0.1</v>
      </c>
      <c r="B219" s="304">
        <f t="shared" ca="1" si="94"/>
        <v>3.5000000000000027</v>
      </c>
      <c r="D219" s="306">
        <f t="shared" ca="1" si="95"/>
        <v>-3.0647127810035188</v>
      </c>
      <c r="E219" s="307">
        <f t="shared" ca="1" si="96"/>
        <v>-23.729552151913765</v>
      </c>
      <c r="F219" s="304">
        <f t="shared" ca="1" si="97"/>
        <v>23.926640168658061</v>
      </c>
      <c r="G219" s="306">
        <f t="shared" ca="1" si="98"/>
        <v>36.248732753017869</v>
      </c>
      <c r="H219" s="307">
        <f t="shared" ca="1" si="99"/>
        <v>163.65632886290257</v>
      </c>
      <c r="I219" s="304">
        <f t="shared" ca="1" si="100"/>
        <v>167.62268522811053</v>
      </c>
      <c r="J219" s="306">
        <f t="shared" ca="1" si="101"/>
        <v>110.02000687684416</v>
      </c>
      <c r="K219" s="307">
        <f t="shared" ca="1" si="102"/>
        <v>537.99521451316571</v>
      </c>
      <c r="L219" s="304">
        <f t="shared" ca="1" si="87"/>
        <v>549.12954095754856</v>
      </c>
      <c r="M219" s="306">
        <f t="shared" ca="1" si="103"/>
        <v>1.3528223852564831</v>
      </c>
      <c r="N219" s="304">
        <f t="shared" ca="1" si="104"/>
        <v>77.511013106017572</v>
      </c>
      <c r="P219" s="310">
        <f t="shared" ca="1" si="105"/>
        <v>23</v>
      </c>
      <c r="Q219" s="304">
        <f t="shared" ca="1" si="106"/>
        <v>0</v>
      </c>
      <c r="R219" s="306">
        <f t="shared" ca="1" si="107"/>
        <v>0</v>
      </c>
      <c r="S219" s="307">
        <f t="shared" ca="1" si="108"/>
        <v>7.4799999999999969</v>
      </c>
      <c r="T219" s="304">
        <f t="shared" ca="1" si="88"/>
        <v>73.37879999999997</v>
      </c>
      <c r="U219" s="311">
        <f t="shared" ca="1" si="89"/>
        <v>0</v>
      </c>
      <c r="V219" s="306">
        <f t="shared" ca="1" si="90"/>
        <v>1.1608219601382599</v>
      </c>
      <c r="W219" s="304">
        <f t="shared" ca="1" si="91"/>
        <v>103.47307416265112</v>
      </c>
      <c r="Y219" s="314" t="str">
        <f t="shared" ca="1" si="109"/>
        <v/>
      </c>
      <c r="Z219" s="315" t="str">
        <f t="shared" ca="1" si="110"/>
        <v/>
      </c>
      <c r="AA219" s="316" t="str">
        <f t="shared" ca="1" si="111"/>
        <v/>
      </c>
      <c r="AC219" s="310" t="e">
        <f t="shared" ca="1" si="112"/>
        <v>#N/A</v>
      </c>
      <c r="AD219" s="323" t="e">
        <f t="shared" ca="1" si="113"/>
        <v>#N/A</v>
      </c>
      <c r="AE219" s="324">
        <f t="shared" ca="1" si="92"/>
        <v>537.99521451316571</v>
      </c>
      <c r="AG219" s="306">
        <f t="shared" ca="1" si="114"/>
        <v>-23.833477254522847</v>
      </c>
      <c r="AH219" s="304">
        <f t="shared" ca="1" si="115"/>
        <v>-14.252943434248708</v>
      </c>
    </row>
    <row r="220" spans="1:34" x14ac:dyDescent="0.2">
      <c r="A220" s="347">
        <f t="shared" ca="1" si="93"/>
        <v>0.1</v>
      </c>
      <c r="B220" s="304">
        <f t="shared" ca="1" si="94"/>
        <v>3.6000000000000028</v>
      </c>
      <c r="D220" s="306">
        <f t="shared" ca="1" si="95"/>
        <v>-2.9914778327126998</v>
      </c>
      <c r="E220" s="307">
        <f t="shared" ca="1" si="96"/>
        <v>-23.315969527603784</v>
      </c>
      <c r="F220" s="304">
        <f t="shared" ca="1" si="97"/>
        <v>23.50709200721688</v>
      </c>
      <c r="G220" s="306">
        <f t="shared" ca="1" si="98"/>
        <v>35.949584969746596</v>
      </c>
      <c r="H220" s="307">
        <f t="shared" ca="1" si="99"/>
        <v>161.32473191014219</v>
      </c>
      <c r="I220" s="304">
        <f t="shared" ca="1" si="100"/>
        <v>165.28170432741877</v>
      </c>
      <c r="J220" s="306">
        <f t="shared" ca="1" si="101"/>
        <v>113.62992276298239</v>
      </c>
      <c r="K220" s="307">
        <f t="shared" ca="1" si="102"/>
        <v>554.24426755181798</v>
      </c>
      <c r="L220" s="304">
        <f t="shared" ca="1" si="87"/>
        <v>565.77245201686208</v>
      </c>
      <c r="M220" s="306">
        <f t="shared" ca="1" si="103"/>
        <v>1.3515388601181109</v>
      </c>
      <c r="N220" s="304">
        <f t="shared" ca="1" si="104"/>
        <v>77.437472532689895</v>
      </c>
      <c r="P220" s="310">
        <f t="shared" ca="1" si="105"/>
        <v>23</v>
      </c>
      <c r="Q220" s="304">
        <f t="shared" ca="1" si="106"/>
        <v>0</v>
      </c>
      <c r="R220" s="306">
        <f t="shared" ca="1" si="107"/>
        <v>0</v>
      </c>
      <c r="S220" s="307">
        <f t="shared" ca="1" si="108"/>
        <v>7.4799999999999969</v>
      </c>
      <c r="T220" s="304">
        <f t="shared" ca="1" si="88"/>
        <v>73.37879999999997</v>
      </c>
      <c r="U220" s="311">
        <f t="shared" ca="1" si="89"/>
        <v>0</v>
      </c>
      <c r="V220" s="306">
        <f t="shared" ca="1" si="90"/>
        <v>1.1589358607484483</v>
      </c>
      <c r="W220" s="304">
        <f t="shared" ca="1" si="91"/>
        <v>100.43963272117092</v>
      </c>
      <c r="Y220" s="314" t="str">
        <f t="shared" ca="1" si="109"/>
        <v/>
      </c>
      <c r="Z220" s="315" t="str">
        <f t="shared" ca="1" si="110"/>
        <v/>
      </c>
      <c r="AA220" s="316" t="str">
        <f t="shared" ca="1" si="111"/>
        <v/>
      </c>
      <c r="AC220" s="310" t="e">
        <f t="shared" ca="1" si="112"/>
        <v>#N/A</v>
      </c>
      <c r="AD220" s="323" t="e">
        <f t="shared" ca="1" si="113"/>
        <v>#N/A</v>
      </c>
      <c r="AE220" s="324">
        <f t="shared" ca="1" si="92"/>
        <v>554.24426755181798</v>
      </c>
      <c r="AG220" s="306">
        <f t="shared" ca="1" si="114"/>
        <v>-23.411170462525313</v>
      </c>
      <c r="AH220" s="304">
        <f t="shared" ca="1" si="115"/>
        <v>-13.833298684846412</v>
      </c>
    </row>
    <row r="221" spans="1:34" x14ac:dyDescent="0.2">
      <c r="A221" s="347">
        <f t="shared" ca="1" si="93"/>
        <v>0.1</v>
      </c>
      <c r="B221" s="304">
        <f t="shared" ca="1" si="94"/>
        <v>3.7000000000000028</v>
      </c>
      <c r="D221" s="306">
        <f t="shared" ca="1" si="95"/>
        <v>-2.9206036021090003</v>
      </c>
      <c r="E221" s="307">
        <f t="shared" ca="1" si="96"/>
        <v>-22.916287416740406</v>
      </c>
      <c r="F221" s="304">
        <f t="shared" ca="1" si="97"/>
        <v>23.101648304121216</v>
      </c>
      <c r="G221" s="306">
        <f t="shared" ca="1" si="98"/>
        <v>35.657524609535699</v>
      </c>
      <c r="H221" s="307">
        <f t="shared" ca="1" si="99"/>
        <v>159.03310316846816</v>
      </c>
      <c r="I221" s="304">
        <f t="shared" ca="1" si="100"/>
        <v>162.98155406263706</v>
      </c>
      <c r="J221" s="306">
        <f t="shared" ca="1" si="101"/>
        <v>117.2102782419465</v>
      </c>
      <c r="K221" s="307">
        <f t="shared" ca="1" si="102"/>
        <v>570.26215930574847</v>
      </c>
      <c r="L221" s="304">
        <f t="shared" ca="1" si="87"/>
        <v>582.18311523232046</v>
      </c>
      <c r="M221" s="306">
        <f t="shared" ca="1" si="103"/>
        <v>1.3502296788725179</v>
      </c>
      <c r="N221" s="304">
        <f t="shared" ca="1" si="104"/>
        <v>77.362461972699734</v>
      </c>
      <c r="P221" s="310">
        <f t="shared" ca="1" si="105"/>
        <v>23</v>
      </c>
      <c r="Q221" s="304">
        <f t="shared" ca="1" si="106"/>
        <v>0</v>
      </c>
      <c r="R221" s="306">
        <f t="shared" ca="1" si="107"/>
        <v>0</v>
      </c>
      <c r="S221" s="307">
        <f t="shared" ca="1" si="108"/>
        <v>7.4799999999999969</v>
      </c>
      <c r="T221" s="304">
        <f t="shared" ca="1" si="88"/>
        <v>73.37879999999997</v>
      </c>
      <c r="U221" s="311">
        <f t="shared" ca="1" si="89"/>
        <v>0</v>
      </c>
      <c r="V221" s="306">
        <f t="shared" ca="1" si="90"/>
        <v>1.1570795097564164</v>
      </c>
      <c r="W221" s="304">
        <f t="shared" ca="1" si="91"/>
        <v>97.507104842251223</v>
      </c>
      <c r="Y221" s="314" t="str">
        <f t="shared" ca="1" si="109"/>
        <v/>
      </c>
      <c r="Z221" s="315" t="str">
        <f t="shared" ca="1" si="110"/>
        <v/>
      </c>
      <c r="AA221" s="316" t="str">
        <f t="shared" ca="1" si="111"/>
        <v>Satellite</v>
      </c>
      <c r="AC221" s="310" t="e">
        <f t="shared" ca="1" si="112"/>
        <v>#N/A</v>
      </c>
      <c r="AD221" s="323" t="e">
        <f t="shared" ca="1" si="113"/>
        <v>#N/A</v>
      </c>
      <c r="AE221" s="324">
        <f t="shared" ca="1" si="92"/>
        <v>570.26215930574847</v>
      </c>
      <c r="AG221" s="306">
        <f t="shared" ca="1" si="114"/>
        <v>-23.00289936330034</v>
      </c>
      <c r="AH221" s="304">
        <f t="shared" ca="1" si="115"/>
        <v>-13.427758385183283</v>
      </c>
    </row>
    <row r="222" spans="1:34" x14ac:dyDescent="0.2">
      <c r="A222" s="347">
        <f t="shared" ca="1" si="93"/>
        <v>0.1</v>
      </c>
      <c r="B222" s="304">
        <f t="shared" ca="1" si="94"/>
        <v>3.8000000000000029</v>
      </c>
      <c r="D222" s="306">
        <f t="shared" ca="1" si="95"/>
        <v>-2.8519860692226073</v>
      </c>
      <c r="E222" s="307">
        <f t="shared" ca="1" si="96"/>
        <v>-22.529901332141819</v>
      </c>
      <c r="F222" s="304">
        <f t="shared" ca="1" si="97"/>
        <v>22.709695695343115</v>
      </c>
      <c r="G222" s="306">
        <f t="shared" ca="1" si="98"/>
        <v>35.372326002613441</v>
      </c>
      <c r="H222" s="307">
        <f t="shared" ca="1" si="99"/>
        <v>156.78011303525398</v>
      </c>
      <c r="I222" s="304">
        <f t="shared" ca="1" si="100"/>
        <v>160.7208925130214</v>
      </c>
      <c r="J222" s="306">
        <f t="shared" ca="1" si="101"/>
        <v>120.76177077255396</v>
      </c>
      <c r="K222" s="307">
        <f t="shared" ca="1" si="102"/>
        <v>586.05282011593454</v>
      </c>
      <c r="L222" s="304">
        <f t="shared" ca="1" si="87"/>
        <v>598.36553480791554</v>
      </c>
      <c r="M222" s="306">
        <f t="shared" ca="1" si="103"/>
        <v>1.3488942845144842</v>
      </c>
      <c r="N222" s="304">
        <f t="shared" ca="1" si="104"/>
        <v>77.285949511998822</v>
      </c>
      <c r="P222" s="310">
        <f t="shared" ca="1" si="105"/>
        <v>23</v>
      </c>
      <c r="Q222" s="304">
        <f t="shared" ca="1" si="106"/>
        <v>0</v>
      </c>
      <c r="R222" s="306">
        <f t="shared" ca="1" si="107"/>
        <v>0</v>
      </c>
      <c r="S222" s="307">
        <f t="shared" ca="1" si="108"/>
        <v>7.4799999999999969</v>
      </c>
      <c r="T222" s="304">
        <f t="shared" ca="1" si="88"/>
        <v>73.37879999999997</v>
      </c>
      <c r="U222" s="311">
        <f t="shared" ca="1" si="89"/>
        <v>0</v>
      </c>
      <c r="V222" s="306">
        <f t="shared" ca="1" si="90"/>
        <v>1.1552523207420802</v>
      </c>
      <c r="W222" s="304">
        <f t="shared" ca="1" si="91"/>
        <v>94.671153814440615</v>
      </c>
      <c r="Y222" s="314" t="str">
        <f t="shared" ca="1" si="109"/>
        <v/>
      </c>
      <c r="Z222" s="315" t="str">
        <f t="shared" ca="1" si="110"/>
        <v/>
      </c>
      <c r="AA222" s="316" t="str">
        <f t="shared" ca="1" si="111"/>
        <v/>
      </c>
      <c r="AC222" s="310" t="e">
        <f t="shared" ca="1" si="112"/>
        <v>#N/A</v>
      </c>
      <c r="AD222" s="323" t="e">
        <f t="shared" ca="1" si="113"/>
        <v>#N/A</v>
      </c>
      <c r="AE222" s="324">
        <f t="shared" ca="1" si="92"/>
        <v>586.05282011593454</v>
      </c>
      <c r="AG222" s="306">
        <f t="shared" ca="1" si="114"/>
        <v>-22.608048546175816</v>
      </c>
      <c r="AH222" s="304">
        <f t="shared" ca="1" si="115"/>
        <v>-13.035709203509528</v>
      </c>
    </row>
    <row r="223" spans="1:34" x14ac:dyDescent="0.2">
      <c r="A223" s="347">
        <f t="shared" ca="1" si="93"/>
        <v>0.1</v>
      </c>
      <c r="B223" s="304">
        <f t="shared" ca="1" si="94"/>
        <v>3.900000000000003</v>
      </c>
      <c r="D223" s="306">
        <f t="shared" ca="1" si="95"/>
        <v>-2.7855268933496276</v>
      </c>
      <c r="E223" s="307">
        <f t="shared" ca="1" si="96"/>
        <v>-22.15623985908725</v>
      </c>
      <c r="F223" s="304">
        <f t="shared" ca="1" si="97"/>
        <v>22.330654373908988</v>
      </c>
      <c r="G223" s="306">
        <f t="shared" ca="1" si="98"/>
        <v>35.093773313278476</v>
      </c>
      <c r="H223" s="307">
        <f t="shared" ca="1" si="99"/>
        <v>154.56448904934524</v>
      </c>
      <c r="I223" s="304">
        <f t="shared" ca="1" si="100"/>
        <v>158.49843595584451</v>
      </c>
      <c r="J223" s="306">
        <f t="shared" ca="1" si="101"/>
        <v>124.28507573834855</v>
      </c>
      <c r="K223" s="307">
        <f t="shared" ca="1" si="102"/>
        <v>601.62005022016444</v>
      </c>
      <c r="L223" s="304">
        <f t="shared" ca="1" si="87"/>
        <v>614.32358320204526</v>
      </c>
      <c r="M223" s="306">
        <f t="shared" ca="1" si="103"/>
        <v>1.3475321015515749</v>
      </c>
      <c r="N223" s="304">
        <f t="shared" ca="1" si="104"/>
        <v>77.207902177299488</v>
      </c>
      <c r="P223" s="310">
        <f t="shared" ca="1" si="105"/>
        <v>23</v>
      </c>
      <c r="Q223" s="304">
        <f t="shared" ca="1" si="106"/>
        <v>0</v>
      </c>
      <c r="R223" s="306">
        <f t="shared" ca="1" si="107"/>
        <v>0</v>
      </c>
      <c r="S223" s="307">
        <f t="shared" ca="1" si="108"/>
        <v>7.4799999999999969</v>
      </c>
      <c r="T223" s="304">
        <f t="shared" ca="1" si="88"/>
        <v>73.37879999999997</v>
      </c>
      <c r="U223" s="311">
        <f t="shared" ca="1" si="89"/>
        <v>0</v>
      </c>
      <c r="V223" s="306">
        <f t="shared" ca="1" si="90"/>
        <v>1.1534537274521937</v>
      </c>
      <c r="W223" s="304">
        <f t="shared" ca="1" si="91"/>
        <v>91.927677581186558</v>
      </c>
      <c r="Y223" s="314" t="str">
        <f t="shared" ca="1" si="109"/>
        <v/>
      </c>
      <c r="Z223" s="315" t="str">
        <f t="shared" ca="1" si="110"/>
        <v/>
      </c>
      <c r="AA223" s="316" t="str">
        <f t="shared" ca="1" si="111"/>
        <v/>
      </c>
      <c r="AC223" s="310" t="e">
        <f t="shared" ca="1" si="112"/>
        <v>#N/A</v>
      </c>
      <c r="AD223" s="323" t="e">
        <f t="shared" ca="1" si="113"/>
        <v>#N/A</v>
      </c>
      <c r="AE223" s="324">
        <f t="shared" ca="1" si="92"/>
        <v>601.62005022016444</v>
      </c>
      <c r="AG223" s="306">
        <f t="shared" ca="1" si="114"/>
        <v>-22.22603607440206</v>
      </c>
      <c r="AH223" s="304">
        <f t="shared" ca="1" si="115"/>
        <v>-12.656571365566933</v>
      </c>
    </row>
    <row r="224" spans="1:34" x14ac:dyDescent="0.2">
      <c r="A224" s="347">
        <f t="shared" ca="1" si="93"/>
        <v>0.1</v>
      </c>
      <c r="B224" s="304">
        <f t="shared" ca="1" si="94"/>
        <v>4.0000000000000027</v>
      </c>
      <c r="D224" s="306">
        <f t="shared" ca="1" si="95"/>
        <v>-2.7211330428335576</v>
      </c>
      <c r="E224" s="307">
        <f t="shared" ca="1" si="96"/>
        <v>-21.794762500352721</v>
      </c>
      <c r="F224" s="304">
        <f t="shared" ca="1" si="97"/>
        <v>21.963975903364624</v>
      </c>
      <c r="G224" s="306">
        <f t="shared" ca="1" si="98"/>
        <v>34.821660008995117</v>
      </c>
      <c r="H224" s="307">
        <f t="shared" ca="1" si="99"/>
        <v>152.38501279930998</v>
      </c>
      <c r="I224" s="304">
        <f t="shared" ca="1" si="100"/>
        <v>156.3129557382494</v>
      </c>
      <c r="J224" s="306">
        <f t="shared" ca="1" si="101"/>
        <v>127.78084740446224</v>
      </c>
      <c r="K224" s="307">
        <f t="shared" ca="1" si="102"/>
        <v>616.96752531259722</v>
      </c>
      <c r="L224" s="304">
        <f t="shared" ca="1" si="87"/>
        <v>630.06100677137033</v>
      </c>
      <c r="M224" s="306">
        <f t="shared" ca="1" si="103"/>
        <v>1.3461425353017493</v>
      </c>
      <c r="N224" s="304">
        <f t="shared" ca="1" si="104"/>
        <v>77.128285895830672</v>
      </c>
      <c r="P224" s="310">
        <f t="shared" ca="1" si="105"/>
        <v>23</v>
      </c>
      <c r="Q224" s="304">
        <f t="shared" ca="1" si="106"/>
        <v>0</v>
      </c>
      <c r="R224" s="306">
        <f t="shared" ca="1" si="107"/>
        <v>0</v>
      </c>
      <c r="S224" s="307">
        <f t="shared" ca="1" si="108"/>
        <v>7.4799999999999969</v>
      </c>
      <c r="T224" s="304">
        <f t="shared" ca="1" si="88"/>
        <v>73.37879999999997</v>
      </c>
      <c r="U224" s="311">
        <f t="shared" ca="1" si="89"/>
        <v>0</v>
      </c>
      <c r="V224" s="306">
        <f t="shared" ca="1" si="90"/>
        <v>1.1516831829094156</v>
      </c>
      <c r="W224" s="304">
        <f t="shared" ca="1" si="91"/>
        <v>89.272793621375598</v>
      </c>
      <c r="Y224" s="314" t="str">
        <f t="shared" ca="1" si="109"/>
        <v/>
      </c>
      <c r="Z224" s="315" t="str">
        <f t="shared" ca="1" si="110"/>
        <v/>
      </c>
      <c r="AA224" s="316" t="str">
        <f t="shared" ca="1" si="111"/>
        <v/>
      </c>
      <c r="AC224" s="310">
        <f t="shared" ca="1" si="112"/>
        <v>4.0000000000000027</v>
      </c>
      <c r="AD224" s="323">
        <f t="shared" ca="1" si="113"/>
        <v>127.78084740446224</v>
      </c>
      <c r="AE224" s="324">
        <f t="shared" ca="1" si="92"/>
        <v>616.96752531259722</v>
      </c>
      <c r="AG224" s="306">
        <f t="shared" ca="1" si="114"/>
        <v>-21.856311294733516</v>
      </c>
      <c r="AH224" s="304">
        <f t="shared" ca="1" si="115"/>
        <v>-12.289796468073074</v>
      </c>
    </row>
    <row r="225" spans="1:34" x14ac:dyDescent="0.2">
      <c r="A225" s="347">
        <f t="shared" ca="1" si="93"/>
        <v>0.1</v>
      </c>
      <c r="B225" s="304">
        <f t="shared" ca="1" si="94"/>
        <v>4.1000000000000023</v>
      </c>
      <c r="D225" s="306">
        <f t="shared" ca="1" si="95"/>
        <v>-2.6587164528237404</v>
      </c>
      <c r="E225" s="307">
        <f t="shared" ca="1" si="96"/>
        <v>-21.444957684057108</v>
      </c>
      <c r="F225" s="304">
        <f t="shared" ca="1" si="97"/>
        <v>21.609141196436187</v>
      </c>
      <c r="G225" s="306">
        <f t="shared" ca="1" si="98"/>
        <v>34.555788363712743</v>
      </c>
      <c r="H225" s="307">
        <f t="shared" ca="1" si="99"/>
        <v>150.24051703090427</v>
      </c>
      <c r="I225" s="304">
        <f t="shared" ca="1" si="100"/>
        <v>154.16327535165806</v>
      </c>
      <c r="J225" s="306">
        <f t="shared" ca="1" si="101"/>
        <v>131.24971982309762</v>
      </c>
      <c r="K225" s="307">
        <f t="shared" ca="1" si="102"/>
        <v>632.09880180410789</v>
      </c>
      <c r="L225" s="304">
        <f t="shared" ca="1" si="87"/>
        <v>645.58143111139009</v>
      </c>
      <c r="M225" s="306">
        <f t="shared" ca="1" si="103"/>
        <v>1.3447249711576328</v>
      </c>
      <c r="N225" s="304">
        <f t="shared" ca="1" si="104"/>
        <v>77.04706545318372</v>
      </c>
      <c r="P225" s="310">
        <f t="shared" ca="1" si="105"/>
        <v>23</v>
      </c>
      <c r="Q225" s="304">
        <f t="shared" ca="1" si="106"/>
        <v>0</v>
      </c>
      <c r="R225" s="306">
        <f t="shared" ca="1" si="107"/>
        <v>0</v>
      </c>
      <c r="S225" s="307">
        <f t="shared" ca="1" si="108"/>
        <v>7.4799999999999969</v>
      </c>
      <c r="T225" s="304">
        <f t="shared" ca="1" si="88"/>
        <v>73.37879999999997</v>
      </c>
      <c r="U225" s="311">
        <f t="shared" ca="1" si="89"/>
        <v>0</v>
      </c>
      <c r="V225" s="306">
        <f t="shared" ca="1" si="90"/>
        <v>1.1499401585705551</v>
      </c>
      <c r="W225" s="304">
        <f t="shared" ca="1" si="91"/>
        <v>86.702824959685572</v>
      </c>
      <c r="Y225" s="314" t="str">
        <f t="shared" ca="1" si="109"/>
        <v/>
      </c>
      <c r="Z225" s="315" t="str">
        <f t="shared" ca="1" si="110"/>
        <v/>
      </c>
      <c r="AA225" s="316" t="str">
        <f t="shared" ca="1" si="111"/>
        <v/>
      </c>
      <c r="AC225" s="310" t="e">
        <f t="shared" ca="1" si="112"/>
        <v>#N/A</v>
      </c>
      <c r="AD225" s="323" t="e">
        <f t="shared" ca="1" si="113"/>
        <v>#N/A</v>
      </c>
      <c r="AE225" s="324">
        <f t="shared" ca="1" si="92"/>
        <v>632.09880180410789</v>
      </c>
      <c r="AG225" s="306">
        <f t="shared" ca="1" si="114"/>
        <v>-21.498352811992497</v>
      </c>
      <c r="AH225" s="304">
        <f t="shared" ca="1" si="115"/>
        <v>-11.934865457403159</v>
      </c>
    </row>
    <row r="226" spans="1:34" x14ac:dyDescent="0.2">
      <c r="A226" s="347">
        <f t="shared" ca="1" si="93"/>
        <v>0.1</v>
      </c>
      <c r="B226" s="304">
        <f t="shared" ca="1" si="94"/>
        <v>4.200000000000002</v>
      </c>
      <c r="D226" s="306">
        <f t="shared" ca="1" si="95"/>
        <v>-2.5981937086142128</v>
      </c>
      <c r="E226" s="307">
        <f t="shared" ca="1" si="96"/>
        <v>-21.106340920369654</v>
      </c>
      <c r="F226" s="304">
        <f t="shared" ca="1" si="97"/>
        <v>21.265658644734074</v>
      </c>
      <c r="G226" s="306">
        <f t="shared" ca="1" si="98"/>
        <v>34.295968992851321</v>
      </c>
      <c r="H226" s="307">
        <f t="shared" ca="1" si="99"/>
        <v>148.1298829388673</v>
      </c>
      <c r="I226" s="304">
        <f t="shared" ca="1" si="100"/>
        <v>152.04826769365425</v>
      </c>
      <c r="J226" s="306">
        <f t="shared" ca="1" si="101"/>
        <v>134.69230769092582</v>
      </c>
      <c r="K226" s="307">
        <f t="shared" ca="1" si="102"/>
        <v>647.01732180259648</v>
      </c>
      <c r="L226" s="304">
        <f t="shared" ca="1" si="87"/>
        <v>660.88836611315207</v>
      </c>
      <c r="M226" s="306">
        <f t="shared" ca="1" si="103"/>
        <v>1.3432787738156819</v>
      </c>
      <c r="N226" s="304">
        <f t="shared" ca="1" si="104"/>
        <v>76.964204449146891</v>
      </c>
      <c r="P226" s="310">
        <f t="shared" ca="1" si="105"/>
        <v>23</v>
      </c>
      <c r="Q226" s="304">
        <f t="shared" ca="1" si="106"/>
        <v>0</v>
      </c>
      <c r="R226" s="306">
        <f t="shared" ca="1" si="107"/>
        <v>0</v>
      </c>
      <c r="S226" s="307">
        <f t="shared" ca="1" si="108"/>
        <v>7.4799999999999969</v>
      </c>
      <c r="T226" s="304">
        <f t="shared" ca="1" si="88"/>
        <v>73.37879999999997</v>
      </c>
      <c r="U226" s="311">
        <f t="shared" ca="1" si="89"/>
        <v>0</v>
      </c>
      <c r="V226" s="306">
        <f t="shared" ca="1" si="90"/>
        <v>1.148224143530773</v>
      </c>
      <c r="W226" s="304">
        <f t="shared" ca="1" si="91"/>
        <v>84.21428721100321</v>
      </c>
      <c r="Y226" s="314" t="str">
        <f t="shared" ca="1" si="109"/>
        <v/>
      </c>
      <c r="Z226" s="315" t="str">
        <f t="shared" ca="1" si="110"/>
        <v/>
      </c>
      <c r="AA226" s="316" t="str">
        <f t="shared" ca="1" si="111"/>
        <v/>
      </c>
      <c r="AC226" s="310" t="e">
        <f t="shared" ca="1" si="112"/>
        <v>#N/A</v>
      </c>
      <c r="AD226" s="323" t="e">
        <f t="shared" ca="1" si="113"/>
        <v>#N/A</v>
      </c>
      <c r="AE226" s="324">
        <f t="shared" ca="1" si="92"/>
        <v>647.01732180259648</v>
      </c>
      <c r="AG226" s="306">
        <f t="shared" ca="1" si="114"/>
        <v>-21.151666614448331</v>
      </c>
      <c r="AH226" s="304">
        <f t="shared" ca="1" si="115"/>
        <v>-11.591286759316258</v>
      </c>
    </row>
    <row r="227" spans="1:34" x14ac:dyDescent="0.2">
      <c r="A227" s="347">
        <f t="shared" ca="1" si="93"/>
        <v>0.1</v>
      </c>
      <c r="B227" s="304">
        <f t="shared" ca="1" si="94"/>
        <v>4.3000000000000016</v>
      </c>
      <c r="D227" s="306">
        <f t="shared" ca="1" si="95"/>
        <v>-2.539485752395449</v>
      </c>
      <c r="E227" s="307">
        <f t="shared" ca="1" si="96"/>
        <v>-20.778453094463352</v>
      </c>
      <c r="F227" s="304">
        <f t="shared" ca="1" si="97"/>
        <v>20.933062386699017</v>
      </c>
      <c r="G227" s="306">
        <f t="shared" ca="1" si="98"/>
        <v>34.042020417611774</v>
      </c>
      <c r="H227" s="307">
        <f t="shared" ca="1" si="99"/>
        <v>146.05203762942097</v>
      </c>
      <c r="I227" s="304">
        <f t="shared" ca="1" si="100"/>
        <v>149.96685250354122</v>
      </c>
      <c r="J227" s="306">
        <f t="shared" ca="1" si="101"/>
        <v>138.10920716144898</v>
      </c>
      <c r="K227" s="307">
        <f t="shared" ca="1" si="102"/>
        <v>661.72641783101085</v>
      </c>
      <c r="L227" s="304">
        <f t="shared" ca="1" si="87"/>
        <v>675.98521075407086</v>
      </c>
      <c r="M227" s="306">
        <f t="shared" ca="1" si="103"/>
        <v>1.3418032864683653</v>
      </c>
      <c r="N227" s="304">
        <f t="shared" ca="1" si="104"/>
        <v>76.879665251420704</v>
      </c>
      <c r="P227" s="310">
        <f t="shared" ca="1" si="105"/>
        <v>23</v>
      </c>
      <c r="Q227" s="304">
        <f t="shared" ca="1" si="106"/>
        <v>0</v>
      </c>
      <c r="R227" s="306">
        <f t="shared" ca="1" si="107"/>
        <v>0</v>
      </c>
      <c r="S227" s="307">
        <f t="shared" ca="1" si="108"/>
        <v>7.4799999999999969</v>
      </c>
      <c r="T227" s="304">
        <f t="shared" ca="1" si="88"/>
        <v>73.37879999999997</v>
      </c>
      <c r="U227" s="311">
        <f t="shared" ca="1" si="89"/>
        <v>0</v>
      </c>
      <c r="V227" s="306">
        <f t="shared" ca="1" si="90"/>
        <v>1.1465346437707713</v>
      </c>
      <c r="W227" s="304">
        <f t="shared" ca="1" si="91"/>
        <v>81.803876572216964</v>
      </c>
      <c r="Y227" s="314" t="str">
        <f t="shared" ca="1" si="109"/>
        <v/>
      </c>
      <c r="Z227" s="315" t="str">
        <f t="shared" ca="1" si="110"/>
        <v/>
      </c>
      <c r="AA227" s="316" t="str">
        <f t="shared" ca="1" si="111"/>
        <v/>
      </c>
      <c r="AC227" s="310" t="e">
        <f t="shared" ca="1" si="112"/>
        <v>#N/A</v>
      </c>
      <c r="AD227" s="323" t="e">
        <f t="shared" ca="1" si="113"/>
        <v>#N/A</v>
      </c>
      <c r="AE227" s="324">
        <f t="shared" ca="1" si="92"/>
        <v>661.72641783101085</v>
      </c>
      <c r="AG227" s="306">
        <f t="shared" ca="1" si="114"/>
        <v>-20.81578433719725</v>
      </c>
      <c r="AH227" s="304">
        <f t="shared" ca="1" si="115"/>
        <v>-11.258594546925568</v>
      </c>
    </row>
    <row r="228" spans="1:34" x14ac:dyDescent="0.2">
      <c r="A228" s="347">
        <f t="shared" ca="1" si="93"/>
        <v>0.1</v>
      </c>
      <c r="B228" s="304">
        <f t="shared" ca="1" si="94"/>
        <v>4.4000000000000012</v>
      </c>
      <c r="D228" s="306">
        <f t="shared" ca="1" si="95"/>
        <v>-2.4825176114566299</v>
      </c>
      <c r="E228" s="307">
        <f t="shared" ca="1" si="96"/>
        <v>-20.460858884291824</v>
      </c>
      <c r="F228" s="304">
        <f t="shared" ca="1" si="97"/>
        <v>20.610910702200812</v>
      </c>
      <c r="G228" s="306">
        <f t="shared" ca="1" si="98"/>
        <v>33.793768656466113</v>
      </c>
      <c r="H228" s="307">
        <f t="shared" ca="1" si="99"/>
        <v>144.00595174099178</v>
      </c>
      <c r="I228" s="304">
        <f t="shared" ca="1" si="100"/>
        <v>147.91799395893526</v>
      </c>
      <c r="J228" s="306">
        <f t="shared" ca="1" si="101"/>
        <v>141.50099661515287</v>
      </c>
      <c r="K228" s="307">
        <f t="shared" ca="1" si="102"/>
        <v>676.22931729953143</v>
      </c>
      <c r="L228" s="304">
        <f t="shared" ca="1" si="87"/>
        <v>690.87525763951908</v>
      </c>
      <c r="M228" s="306">
        <f t="shared" ca="1" si="103"/>
        <v>1.3402978299573705</v>
      </c>
      <c r="N228" s="304">
        <f t="shared" ca="1" si="104"/>
        <v>76.793408947100204</v>
      </c>
      <c r="P228" s="310">
        <f t="shared" ca="1" si="105"/>
        <v>23</v>
      </c>
      <c r="Q228" s="304">
        <f t="shared" ca="1" si="106"/>
        <v>0</v>
      </c>
      <c r="R228" s="306">
        <f t="shared" ca="1" si="107"/>
        <v>0</v>
      </c>
      <c r="S228" s="307">
        <f t="shared" ca="1" si="108"/>
        <v>7.4799999999999969</v>
      </c>
      <c r="T228" s="304">
        <f t="shared" ca="1" si="88"/>
        <v>73.37879999999997</v>
      </c>
      <c r="U228" s="311">
        <f t="shared" ca="1" si="89"/>
        <v>0</v>
      </c>
      <c r="V228" s="306">
        <f t="shared" ca="1" si="90"/>
        <v>1.1448711814442076</v>
      </c>
      <c r="W228" s="304">
        <f t="shared" ca="1" si="91"/>
        <v>79.468458682805633</v>
      </c>
      <c r="Y228" s="314" t="str">
        <f t="shared" ca="1" si="109"/>
        <v/>
      </c>
      <c r="Z228" s="315" t="str">
        <f t="shared" ca="1" si="110"/>
        <v/>
      </c>
      <c r="AA228" s="316" t="str">
        <f t="shared" ca="1" si="111"/>
        <v/>
      </c>
      <c r="AC228" s="310" t="e">
        <f t="shared" ca="1" si="112"/>
        <v>#N/A</v>
      </c>
      <c r="AD228" s="323" t="e">
        <f t="shared" ca="1" si="113"/>
        <v>#N/A</v>
      </c>
      <c r="AE228" s="324">
        <f t="shared" ca="1" si="92"/>
        <v>676.22931729953143</v>
      </c>
      <c r="AG228" s="306">
        <f t="shared" ca="1" si="114"/>
        <v>-20.490261651937971</v>
      </c>
      <c r="AH228" s="304">
        <f t="shared" ca="1" si="115"/>
        <v>-10.936347135323128</v>
      </c>
    </row>
    <row r="229" spans="1:34" x14ac:dyDescent="0.2">
      <c r="A229" s="347">
        <f t="shared" ca="1" si="93"/>
        <v>0.1</v>
      </c>
      <c r="B229" s="304">
        <f t="shared" ca="1" si="94"/>
        <v>4.5000000000000009</v>
      </c>
      <c r="D229" s="306">
        <f t="shared" ca="1" si="95"/>
        <v>-2.4272181460596207</v>
      </c>
      <c r="E229" s="307">
        <f t="shared" ca="1" si="96"/>
        <v>-20.15314529283615</v>
      </c>
      <c r="F229" s="304">
        <f t="shared" ca="1" si="97"/>
        <v>20.298784523284269</v>
      </c>
      <c r="G229" s="306">
        <f t="shared" ca="1" si="98"/>
        <v>33.551046841860149</v>
      </c>
      <c r="H229" s="307">
        <f t="shared" ca="1" si="99"/>
        <v>141.99063721170816</v>
      </c>
      <c r="I229" s="304">
        <f t="shared" ca="1" si="100"/>
        <v>145.90069842180884</v>
      </c>
      <c r="J229" s="306">
        <f t="shared" ca="1" si="101"/>
        <v>144.8682373900692</v>
      </c>
      <c r="K229" s="307">
        <f t="shared" ca="1" si="102"/>
        <v>690.52914674716646</v>
      </c>
      <c r="L229" s="304">
        <f t="shared" ca="1" si="87"/>
        <v>705.56169731064278</v>
      </c>
      <c r="M229" s="306">
        <f t="shared" ca="1" si="103"/>
        <v>1.3387617018857179</v>
      </c>
      <c r="N229" s="304">
        <f t="shared" ca="1" si="104"/>
        <v>76.705395291802944</v>
      </c>
      <c r="P229" s="310">
        <f t="shared" ca="1" si="105"/>
        <v>23</v>
      </c>
      <c r="Q229" s="304">
        <f t="shared" ca="1" si="106"/>
        <v>0</v>
      </c>
      <c r="R229" s="306">
        <f t="shared" ca="1" si="107"/>
        <v>0</v>
      </c>
      <c r="S229" s="307">
        <f t="shared" ca="1" si="108"/>
        <v>7.4799999999999969</v>
      </c>
      <c r="T229" s="304">
        <f t="shared" ca="1" si="88"/>
        <v>73.37879999999997</v>
      </c>
      <c r="U229" s="311">
        <f t="shared" ca="1" si="89"/>
        <v>0</v>
      </c>
      <c r="V229" s="306">
        <f t="shared" ca="1" si="90"/>
        <v>1.1432332942027958</v>
      </c>
      <c r="W229" s="304">
        <f t="shared" ca="1" si="91"/>
        <v>77.205058282919978</v>
      </c>
      <c r="Y229" s="314" t="str">
        <f t="shared" ca="1" si="109"/>
        <v/>
      </c>
      <c r="Z229" s="315" t="str">
        <f t="shared" ca="1" si="110"/>
        <v/>
      </c>
      <c r="AA229" s="316" t="str">
        <f t="shared" ca="1" si="111"/>
        <v/>
      </c>
      <c r="AC229" s="310" t="e">
        <f t="shared" ca="1" si="112"/>
        <v>#N/A</v>
      </c>
      <c r="AD229" s="323" t="e">
        <f t="shared" ca="1" si="113"/>
        <v>#N/A</v>
      </c>
      <c r="AE229" s="324">
        <f t="shared" ca="1" si="92"/>
        <v>690.52914674716646</v>
      </c>
      <c r="AG229" s="306">
        <f t="shared" ca="1" si="114"/>
        <v>-20.174676772621332</v>
      </c>
      <c r="AH229" s="304">
        <f t="shared" ca="1" si="115"/>
        <v>-10.624125492353699</v>
      </c>
    </row>
    <row r="230" spans="1:34" x14ac:dyDescent="0.2">
      <c r="A230" s="347">
        <f t="shared" ca="1" si="93"/>
        <v>0.1</v>
      </c>
      <c r="B230" s="304">
        <f t="shared" ca="1" si="94"/>
        <v>4.6000000000000005</v>
      </c>
      <c r="D230" s="306">
        <f t="shared" ca="1" si="95"/>
        <v>-2.3735198153706949</v>
      </c>
      <c r="E230" s="307">
        <f t="shared" ca="1" si="96"/>
        <v>-19.854920285426651</v>
      </c>
      <c r="F230" s="304">
        <f t="shared" ca="1" si="97"/>
        <v>19.996286051529772</v>
      </c>
      <c r="G230" s="306">
        <f t="shared" ca="1" si="98"/>
        <v>33.313694860323082</v>
      </c>
      <c r="H230" s="307">
        <f t="shared" ca="1" si="99"/>
        <v>140.0051451831655</v>
      </c>
      <c r="I230" s="304">
        <f t="shared" ca="1" si="100"/>
        <v>143.91401232335218</v>
      </c>
      <c r="J230" s="306">
        <f t="shared" ca="1" si="101"/>
        <v>148.21147447517836</v>
      </c>
      <c r="K230" s="307">
        <f t="shared" ca="1" si="102"/>
        <v>704.62893586691018</v>
      </c>
      <c r="L230" s="304">
        <f t="shared" ca="1" si="87"/>
        <v>720.04762233274585</v>
      </c>
      <c r="M230" s="306">
        <f t="shared" ca="1" si="103"/>
        <v>1.3371941756865362</v>
      </c>
      <c r="N230" s="304">
        <f t="shared" ca="1" si="104"/>
        <v>76.615582656313649</v>
      </c>
      <c r="P230" s="310">
        <f t="shared" ca="1" si="105"/>
        <v>23</v>
      </c>
      <c r="Q230" s="304">
        <f t="shared" ca="1" si="106"/>
        <v>0</v>
      </c>
      <c r="R230" s="306">
        <f t="shared" ca="1" si="107"/>
        <v>0</v>
      </c>
      <c r="S230" s="307">
        <f t="shared" ca="1" si="108"/>
        <v>7.4799999999999969</v>
      </c>
      <c r="T230" s="304">
        <f t="shared" ca="1" si="88"/>
        <v>73.37879999999997</v>
      </c>
      <c r="U230" s="311">
        <f t="shared" ca="1" si="89"/>
        <v>0</v>
      </c>
      <c r="V230" s="306">
        <f t="shared" ca="1" si="90"/>
        <v>1.1416205345567261</v>
      </c>
      <c r="W230" s="304">
        <f t="shared" ca="1" si="91"/>
        <v>75.010849604187371</v>
      </c>
      <c r="Y230" s="314" t="str">
        <f t="shared" ca="1" si="109"/>
        <v/>
      </c>
      <c r="Z230" s="315" t="str">
        <f t="shared" ca="1" si="110"/>
        <v/>
      </c>
      <c r="AA230" s="316" t="str">
        <f t="shared" ca="1" si="111"/>
        <v/>
      </c>
      <c r="AC230" s="310" t="e">
        <f t="shared" ca="1" si="112"/>
        <v>#N/A</v>
      </c>
      <c r="AD230" s="323" t="e">
        <f t="shared" ca="1" si="113"/>
        <v>#N/A</v>
      </c>
      <c r="AE230" s="324">
        <f t="shared" ca="1" si="92"/>
        <v>704.62893586691018</v>
      </c>
      <c r="AG230" s="306">
        <f t="shared" ca="1" si="114"/>
        <v>-19.868629067423807</v>
      </c>
      <c r="AH230" s="304">
        <f t="shared" ca="1" si="115"/>
        <v>-10.321531856005349</v>
      </c>
    </row>
    <row r="231" spans="1:34" x14ac:dyDescent="0.2">
      <c r="A231" s="347">
        <f t="shared" ca="1" si="93"/>
        <v>0.1</v>
      </c>
      <c r="B231" s="304">
        <f t="shared" ca="1" si="94"/>
        <v>4.7</v>
      </c>
      <c r="D231" s="306">
        <f t="shared" ca="1" si="95"/>
        <v>-2.321358459983919</v>
      </c>
      <c r="E231" s="307">
        <f t="shared" ca="1" si="96"/>
        <v>-19.565811523605525</v>
      </c>
      <c r="F231" s="304">
        <f t="shared" ca="1" si="97"/>
        <v>19.703037473369267</v>
      </c>
      <c r="G231" s="306">
        <f t="shared" ca="1" si="98"/>
        <v>33.081559014324689</v>
      </c>
      <c r="H231" s="307">
        <f t="shared" ca="1" si="99"/>
        <v>138.04856403080495</v>
      </c>
      <c r="I231" s="304">
        <f t="shared" ca="1" si="100"/>
        <v>141.95702017788872</v>
      </c>
      <c r="J231" s="306">
        <f t="shared" ca="1" si="101"/>
        <v>151.53123716891076</v>
      </c>
      <c r="K231" s="307">
        <f t="shared" ca="1" si="102"/>
        <v>718.53162132760872</v>
      </c>
      <c r="L231" s="304">
        <f t="shared" ca="1" si="87"/>
        <v>734.33603117756843</v>
      </c>
      <c r="M231" s="306">
        <f t="shared" ca="1" si="103"/>
        <v>1.3355944996461098</v>
      </c>
      <c r="N231" s="304">
        <f t="shared" ca="1" si="104"/>
        <v>76.523927970609009</v>
      </c>
      <c r="P231" s="310">
        <f t="shared" ca="1" si="105"/>
        <v>23</v>
      </c>
      <c r="Q231" s="304">
        <f t="shared" ca="1" si="106"/>
        <v>0</v>
      </c>
      <c r="R231" s="306">
        <f t="shared" ca="1" si="107"/>
        <v>0</v>
      </c>
      <c r="S231" s="307">
        <f t="shared" ca="1" si="108"/>
        <v>7.4799999999999969</v>
      </c>
      <c r="T231" s="304">
        <f t="shared" ca="1" si="88"/>
        <v>73.37879999999997</v>
      </c>
      <c r="U231" s="311">
        <f t="shared" ca="1" si="89"/>
        <v>0</v>
      </c>
      <c r="V231" s="306">
        <f t="shared" ca="1" si="90"/>
        <v>1.1400324692682138</v>
      </c>
      <c r="W231" s="304">
        <f t="shared" ca="1" si="91"/>
        <v>72.883147434341751</v>
      </c>
      <c r="Y231" s="314" t="str">
        <f t="shared" ca="1" si="109"/>
        <v/>
      </c>
      <c r="Z231" s="315" t="str">
        <f t="shared" ca="1" si="110"/>
        <v/>
      </c>
      <c r="AA231" s="316" t="str">
        <f t="shared" ca="1" si="111"/>
        <v/>
      </c>
      <c r="AC231" s="310" t="e">
        <f t="shared" ca="1" si="112"/>
        <v>#N/A</v>
      </c>
      <c r="AD231" s="323" t="e">
        <f t="shared" ca="1" si="113"/>
        <v>#N/A</v>
      </c>
      <c r="AE231" s="324">
        <f t="shared" ca="1" si="92"/>
        <v>718.53162132760872</v>
      </c>
      <c r="AG231" s="306">
        <f t="shared" ca="1" si="114"/>
        <v>-19.571737768366944</v>
      </c>
      <c r="AH231" s="304">
        <f t="shared" ca="1" si="115"/>
        <v>-10.028188449757675</v>
      </c>
    </row>
    <row r="232" spans="1:34" x14ac:dyDescent="0.2">
      <c r="A232" s="347">
        <f t="shared" ca="1" si="93"/>
        <v>0.1</v>
      </c>
      <c r="B232" s="304">
        <f t="shared" ca="1" si="94"/>
        <v>4.8</v>
      </c>
      <c r="D232" s="306">
        <f t="shared" ca="1" si="95"/>
        <v>-2.2706730997030791</v>
      </c>
      <c r="E232" s="307">
        <f t="shared" ca="1" si="96"/>
        <v>-19.285465187769834</v>
      </c>
      <c r="F232" s="304">
        <f t="shared" ca="1" si="97"/>
        <v>19.418679765483475</v>
      </c>
      <c r="G232" s="306">
        <f t="shared" ca="1" si="98"/>
        <v>32.85449170435438</v>
      </c>
      <c r="H232" s="307">
        <f t="shared" ca="1" si="99"/>
        <v>136.12001751202797</v>
      </c>
      <c r="I232" s="304">
        <f t="shared" ca="1" si="100"/>
        <v>140.02884271687134</v>
      </c>
      <c r="J232" s="306">
        <f t="shared" ca="1" si="101"/>
        <v>154.82803970484471</v>
      </c>
      <c r="K232" s="307">
        <f t="shared" ca="1" si="102"/>
        <v>732.24005040475038</v>
      </c>
      <c r="L232" s="304">
        <f t="shared" ca="1" si="87"/>
        <v>748.4298319118476</v>
      </c>
      <c r="M232" s="306">
        <f t="shared" ca="1" si="103"/>
        <v>1.3339618958786588</v>
      </c>
      <c r="N232" s="304">
        <f t="shared" ca="1" si="104"/>
        <v>76.430386665116913</v>
      </c>
      <c r="P232" s="310">
        <f t="shared" ca="1" si="105"/>
        <v>23</v>
      </c>
      <c r="Q232" s="304">
        <f t="shared" ca="1" si="106"/>
        <v>0</v>
      </c>
      <c r="R232" s="306">
        <f t="shared" ca="1" si="107"/>
        <v>0</v>
      </c>
      <c r="S232" s="307">
        <f t="shared" ca="1" si="108"/>
        <v>7.4799999999999969</v>
      </c>
      <c r="T232" s="304">
        <f t="shared" ca="1" si="88"/>
        <v>73.37879999999997</v>
      </c>
      <c r="U232" s="311">
        <f t="shared" ca="1" si="89"/>
        <v>0</v>
      </c>
      <c r="V232" s="306">
        <f t="shared" ca="1" si="90"/>
        <v>1.1384686787761453</v>
      </c>
      <c r="W232" s="304">
        <f t="shared" ca="1" si="91"/>
        <v>70.81939880206896</v>
      </c>
      <c r="Y232" s="314" t="str">
        <f t="shared" ca="1" si="109"/>
        <v/>
      </c>
      <c r="Z232" s="315" t="str">
        <f t="shared" ca="1" si="110"/>
        <v/>
      </c>
      <c r="AA232" s="316" t="str">
        <f t="shared" ca="1" si="111"/>
        <v/>
      </c>
      <c r="AC232" s="310" t="e">
        <f t="shared" ca="1" si="112"/>
        <v>#N/A</v>
      </c>
      <c r="AD232" s="323" t="e">
        <f t="shared" ca="1" si="113"/>
        <v>#N/A</v>
      </c>
      <c r="AE232" s="324">
        <f t="shared" ca="1" si="92"/>
        <v>732.24005040475038</v>
      </c>
      <c r="AG232" s="306">
        <f t="shared" ca="1" si="114"/>
        <v>-19.2836407706884</v>
      </c>
      <c r="AH232" s="304">
        <f t="shared" ca="1" si="115"/>
        <v>-9.7437362880136078</v>
      </c>
    </row>
    <row r="233" spans="1:34" x14ac:dyDescent="0.2">
      <c r="A233" s="347">
        <f t="shared" ca="1" si="93"/>
        <v>0.1</v>
      </c>
      <c r="B233" s="304">
        <f t="shared" ca="1" si="94"/>
        <v>4.8999999999999995</v>
      </c>
      <c r="D233" s="306">
        <f t="shared" ca="1" si="95"/>
        <v>-2.2214057453687968</v>
      </c>
      <c r="E233" s="307">
        <f t="shared" ca="1" si="96"/>
        <v>-19.013544881531203</v>
      </c>
      <c r="F233" s="304">
        <f t="shared" ca="1" si="97"/>
        <v>19.142871583113095</v>
      </c>
      <c r="G233" s="306">
        <f t="shared" ca="1" si="98"/>
        <v>32.632351129817501</v>
      </c>
      <c r="H233" s="307">
        <f t="shared" ca="1" si="99"/>
        <v>134.21866302387485</v>
      </c>
      <c r="I233" s="304">
        <f t="shared" ca="1" si="100"/>
        <v>138.12863513470396</v>
      </c>
      <c r="J233" s="306">
        <f t="shared" ca="1" si="101"/>
        <v>158.1023818465533</v>
      </c>
      <c r="K233" s="307">
        <f t="shared" ca="1" si="102"/>
        <v>745.75698443154556</v>
      </c>
      <c r="L233" s="304">
        <f t="shared" ca="1" si="87"/>
        <v>762.33184570368428</v>
      </c>
      <c r="M233" s="306">
        <f t="shared" ca="1" si="103"/>
        <v>1.3322955592501546</v>
      </c>
      <c r="N233" s="304">
        <f t="shared" ca="1" si="104"/>
        <v>76.334912609055564</v>
      </c>
      <c r="P233" s="310">
        <f t="shared" ca="1" si="105"/>
        <v>23</v>
      </c>
      <c r="Q233" s="304">
        <f t="shared" ca="1" si="106"/>
        <v>0</v>
      </c>
      <c r="R233" s="306">
        <f t="shared" ca="1" si="107"/>
        <v>0</v>
      </c>
      <c r="S233" s="307">
        <f t="shared" ca="1" si="108"/>
        <v>7.4799999999999969</v>
      </c>
      <c r="T233" s="304">
        <f t="shared" ca="1" si="88"/>
        <v>73.37879999999997</v>
      </c>
      <c r="U233" s="311">
        <f t="shared" ca="1" si="89"/>
        <v>0</v>
      </c>
      <c r="V233" s="306">
        <f t="shared" ca="1" si="90"/>
        <v>1.1369287566499302</v>
      </c>
      <c r="W233" s="304">
        <f t="shared" ca="1" si="91"/>
        <v>68.817175233220738</v>
      </c>
      <c r="Y233" s="314" t="str">
        <f t="shared" ca="1" si="109"/>
        <v/>
      </c>
      <c r="Z233" s="315" t="str">
        <f t="shared" ca="1" si="110"/>
        <v/>
      </c>
      <c r="AA233" s="316" t="str">
        <f t="shared" ca="1" si="111"/>
        <v/>
      </c>
      <c r="AC233" s="310" t="e">
        <f t="shared" ca="1" si="112"/>
        <v>#N/A</v>
      </c>
      <c r="AD233" s="323" t="e">
        <f t="shared" ca="1" si="113"/>
        <v>#N/A</v>
      </c>
      <c r="AE233" s="324">
        <f t="shared" ca="1" si="92"/>
        <v>745.75698443154556</v>
      </c>
      <c r="AG233" s="306">
        <f t="shared" ca="1" si="114"/>
        <v>-19.003993514775786</v>
      </c>
      <c r="AH233" s="304">
        <f t="shared" ca="1" si="115"/>
        <v>-9.4678340644477252</v>
      </c>
    </row>
    <row r="234" spans="1:34" x14ac:dyDescent="0.2">
      <c r="A234" s="347">
        <f t="shared" ca="1" si="93"/>
        <v>0.1</v>
      </c>
      <c r="B234" s="304">
        <f t="shared" ca="1" si="94"/>
        <v>4.9999999999999991</v>
      </c>
      <c r="D234" s="306">
        <f t="shared" ca="1" si="95"/>
        <v>-2.1735012236253128</v>
      </c>
      <c r="E234" s="307">
        <f t="shared" ca="1" si="96"/>
        <v>-18.74973061135595</v>
      </c>
      <c r="F234" s="304">
        <f t="shared" ca="1" si="97"/>
        <v>18.875288224753525</v>
      </c>
      <c r="G234" s="306">
        <f t="shared" ca="1" si="98"/>
        <v>32.415001007454968</v>
      </c>
      <c r="H234" s="307">
        <f t="shared" ca="1" si="99"/>
        <v>132.34368996273926</v>
      </c>
      <c r="I234" s="304">
        <f t="shared" ca="1" si="100"/>
        <v>136.25558543878839</v>
      </c>
      <c r="J234" s="306">
        <f t="shared" ca="1" si="101"/>
        <v>161.35474945341693</v>
      </c>
      <c r="K234" s="307">
        <f t="shared" ca="1" si="102"/>
        <v>759.08510208087625</v>
      </c>
      <c r="L234" s="304">
        <f t="shared" ca="1" si="87"/>
        <v>776.04481015744784</v>
      </c>
      <c r="M234" s="306">
        <f t="shared" ca="1" si="103"/>
        <v>1.3305946562482982</v>
      </c>
      <c r="N234" s="304">
        <f t="shared" ca="1" si="104"/>
        <v>76.237458045688058</v>
      </c>
      <c r="P234" s="310">
        <f t="shared" ca="1" si="105"/>
        <v>23</v>
      </c>
      <c r="Q234" s="304">
        <f t="shared" ca="1" si="106"/>
        <v>0</v>
      </c>
      <c r="R234" s="306">
        <f t="shared" ca="1" si="107"/>
        <v>0</v>
      </c>
      <c r="S234" s="307">
        <f t="shared" ca="1" si="108"/>
        <v>7.4799999999999969</v>
      </c>
      <c r="T234" s="304">
        <f t="shared" ca="1" si="88"/>
        <v>73.37879999999997</v>
      </c>
      <c r="U234" s="311">
        <f t="shared" ca="1" si="89"/>
        <v>0</v>
      </c>
      <c r="V234" s="306">
        <f t="shared" ca="1" si="90"/>
        <v>1.1354123090708017</v>
      </c>
      <c r="W234" s="304">
        <f t="shared" ca="1" si="91"/>
        <v>66.874165533845598</v>
      </c>
      <c r="Y234" s="314" t="str">
        <f t="shared" ca="1" si="109"/>
        <v/>
      </c>
      <c r="Z234" s="315" t="str">
        <f t="shared" ca="1" si="110"/>
        <v/>
      </c>
      <c r="AA234" s="316" t="str">
        <f t="shared" ca="1" si="111"/>
        <v/>
      </c>
      <c r="AC234" s="310">
        <f t="shared" ca="1" si="112"/>
        <v>4.9999999999999991</v>
      </c>
      <c r="AD234" s="323">
        <f t="shared" ca="1" si="113"/>
        <v>161.35474945341693</v>
      </c>
      <c r="AE234" s="324">
        <f t="shared" ca="1" si="92"/>
        <v>759.08510208087625</v>
      </c>
      <c r="AG234" s="306">
        <f t="shared" ca="1" si="114"/>
        <v>-18.732467944109537</v>
      </c>
      <c r="AH234" s="304">
        <f t="shared" ca="1" si="115"/>
        <v>-9.2001571167407441</v>
      </c>
    </row>
    <row r="235" spans="1:34" x14ac:dyDescent="0.2">
      <c r="A235" s="347">
        <f t="shared" ca="1" si="93"/>
        <v>0.1</v>
      </c>
      <c r="B235" s="304">
        <f t="shared" ca="1" si="94"/>
        <v>5.0999999999999988</v>
      </c>
      <c r="D235" s="306">
        <f t="shared" ca="1" si="95"/>
        <v>-2.1269070136186978</v>
      </c>
      <c r="E235" s="307">
        <f t="shared" ca="1" si="96"/>
        <v>-18.493717835615428</v>
      </c>
      <c r="F235" s="304">
        <f t="shared" ca="1" si="97"/>
        <v>18.61562066727673</v>
      </c>
      <c r="G235" s="306">
        <f t="shared" ca="1" si="98"/>
        <v>32.202310306093096</v>
      </c>
      <c r="H235" s="307">
        <f t="shared" ca="1" si="99"/>
        <v>130.49431817917772</v>
      </c>
      <c r="I235" s="304">
        <f t="shared" ca="1" si="100"/>
        <v>134.40891289679558</v>
      </c>
      <c r="J235" s="306">
        <f t="shared" ca="1" si="101"/>
        <v>164.58561501909432</v>
      </c>
      <c r="K235" s="307">
        <f t="shared" ca="1" si="102"/>
        <v>772.22700248797207</v>
      </c>
      <c r="L235" s="304">
        <f t="shared" ca="1" si="87"/>
        <v>789.57138248721492</v>
      </c>
      <c r="M235" s="306">
        <f t="shared" ca="1" si="103"/>
        <v>1.3288583237956042</v>
      </c>
      <c r="N235" s="304">
        <f t="shared" ca="1" si="104"/>
        <v>76.13797352431709</v>
      </c>
      <c r="P235" s="310">
        <f t="shared" ca="1" si="105"/>
        <v>23</v>
      </c>
      <c r="Q235" s="304">
        <f t="shared" ca="1" si="106"/>
        <v>0</v>
      </c>
      <c r="R235" s="306">
        <f t="shared" ca="1" si="107"/>
        <v>0</v>
      </c>
      <c r="S235" s="307">
        <f t="shared" ca="1" si="108"/>
        <v>7.4799999999999969</v>
      </c>
      <c r="T235" s="304">
        <f t="shared" ca="1" si="88"/>
        <v>73.37879999999997</v>
      </c>
      <c r="U235" s="311">
        <f t="shared" ca="1" si="89"/>
        <v>0</v>
      </c>
      <c r="V235" s="306">
        <f t="shared" ca="1" si="90"/>
        <v>1.1339189543389392</v>
      </c>
      <c r="W235" s="304">
        <f t="shared" ca="1" si="91"/>
        <v>64.98816905936782</v>
      </c>
      <c r="Y235" s="314" t="str">
        <f t="shared" ca="1" si="109"/>
        <v/>
      </c>
      <c r="Z235" s="315" t="str">
        <f t="shared" ca="1" si="110"/>
        <v/>
      </c>
      <c r="AA235" s="316" t="str">
        <f t="shared" ca="1" si="111"/>
        <v/>
      </c>
      <c r="AC235" s="310" t="e">
        <f t="shared" ca="1" si="112"/>
        <v>#N/A</v>
      </c>
      <c r="AD235" s="323" t="e">
        <f t="shared" ca="1" si="113"/>
        <v>#N/A</v>
      </c>
      <c r="AE235" s="324">
        <f t="shared" ca="1" si="92"/>
        <v>772.22700248797207</v>
      </c>
      <c r="AG235" s="306">
        <f t="shared" ca="1" si="114"/>
        <v>-18.468751533233728</v>
      </c>
      <c r="AH235" s="304">
        <f t="shared" ca="1" si="115"/>
        <v>-8.9403964617440685</v>
      </c>
    </row>
    <row r="236" spans="1:34" x14ac:dyDescent="0.2">
      <c r="A236" s="347">
        <f t="shared" ca="1" si="93"/>
        <v>0.1</v>
      </c>
      <c r="B236" s="304">
        <f t="shared" ca="1" si="94"/>
        <v>5.1999999999999984</v>
      </c>
      <c r="D236" s="306">
        <f t="shared" ca="1" si="95"/>
        <v>-2.0815730947062039</v>
      </c>
      <c r="E236" s="307">
        <f t="shared" ca="1" si="96"/>
        <v>-18.24521657768792</v>
      </c>
      <c r="F236" s="304">
        <f t="shared" ca="1" si="97"/>
        <v>18.363574666043178</v>
      </c>
      <c r="G236" s="306">
        <f t="shared" ca="1" si="98"/>
        <v>31.994152996622475</v>
      </c>
      <c r="H236" s="307">
        <f t="shared" ca="1" si="99"/>
        <v>128.66979652140893</v>
      </c>
      <c r="I236" s="304">
        <f t="shared" ca="1" si="100"/>
        <v>132.58786657470608</v>
      </c>
      <c r="J236" s="306">
        <f t="shared" ca="1" si="101"/>
        <v>167.79543818423011</v>
      </c>
      <c r="K236" s="307">
        <f t="shared" ca="1" si="102"/>
        <v>785.18520822300138</v>
      </c>
      <c r="L236" s="304">
        <f t="shared" ca="1" si="87"/>
        <v>802.91414253806477</v>
      </c>
      <c r="M236" s="306">
        <f t="shared" ca="1" si="103"/>
        <v>1.3270856680023464</v>
      </c>
      <c r="N236" s="304">
        <f t="shared" ca="1" si="104"/>
        <v>76.036407828834001</v>
      </c>
      <c r="P236" s="310">
        <f t="shared" ca="1" si="105"/>
        <v>23</v>
      </c>
      <c r="Q236" s="304">
        <f t="shared" ca="1" si="106"/>
        <v>0</v>
      </c>
      <c r="R236" s="306">
        <f t="shared" ca="1" si="107"/>
        <v>0</v>
      </c>
      <c r="S236" s="307">
        <f t="shared" ca="1" si="108"/>
        <v>7.4799999999999969</v>
      </c>
      <c r="T236" s="304">
        <f t="shared" ca="1" si="88"/>
        <v>73.37879999999997</v>
      </c>
      <c r="U236" s="311">
        <f t="shared" ca="1" si="89"/>
        <v>0</v>
      </c>
      <c r="V236" s="306">
        <f t="shared" ca="1" si="90"/>
        <v>1.1324483224048782</v>
      </c>
      <c r="W236" s="304">
        <f t="shared" ca="1" si="91"/>
        <v>63.157089432750524</v>
      </c>
      <c r="Y236" s="314" t="str">
        <f t="shared" ca="1" si="109"/>
        <v/>
      </c>
      <c r="Z236" s="315" t="str">
        <f t="shared" ca="1" si="110"/>
        <v/>
      </c>
      <c r="AA236" s="316" t="str">
        <f t="shared" ca="1" si="111"/>
        <v/>
      </c>
      <c r="AC236" s="310" t="e">
        <f t="shared" ca="1" si="112"/>
        <v>#N/A</v>
      </c>
      <c r="AD236" s="323" t="e">
        <f t="shared" ca="1" si="113"/>
        <v>#N/A</v>
      </c>
      <c r="AE236" s="324">
        <f t="shared" ca="1" si="92"/>
        <v>785.18520822300138</v>
      </c>
      <c r="AG236" s="306">
        <f t="shared" ca="1" si="114"/>
        <v>-18.212546380290824</v>
      </c>
      <c r="AH236" s="304">
        <f t="shared" ca="1" si="115"/>
        <v>-8.6882578956374132</v>
      </c>
    </row>
    <row r="237" spans="1:34" x14ac:dyDescent="0.2">
      <c r="A237" s="347">
        <f t="shared" ca="1" si="93"/>
        <v>0.1</v>
      </c>
      <c r="B237" s="304">
        <f t="shared" ca="1" si="94"/>
        <v>5.299999999999998</v>
      </c>
      <c r="D237" s="306">
        <f t="shared" ca="1" si="95"/>
        <v>-2.0374518043357841</v>
      </c>
      <c r="E237" s="307">
        <f t="shared" ca="1" si="96"/>
        <v>-18.003950598215184</v>
      </c>
      <c r="F237" s="304">
        <f t="shared" ca="1" si="97"/>
        <v>18.118869915035098</v>
      </c>
      <c r="G237" s="306">
        <f t="shared" ca="1" si="98"/>
        <v>31.790407816188896</v>
      </c>
      <c r="H237" s="307">
        <f t="shared" ca="1" si="99"/>
        <v>126.86940146158742</v>
      </c>
      <c r="I237" s="304">
        <f t="shared" ca="1" si="100"/>
        <v>130.79172395966438</v>
      </c>
      <c r="J237" s="306">
        <f t="shared" ca="1" si="101"/>
        <v>170.98466622487067</v>
      </c>
      <c r="K237" s="307">
        <f t="shared" ca="1" si="102"/>
        <v>797.96216812215118</v>
      </c>
      <c r="L237" s="304">
        <f t="shared" ca="1" si="87"/>
        <v>816.07559566392786</v>
      </c>
      <c r="M237" s="306">
        <f t="shared" ca="1" si="103"/>
        <v>1.3252757628558958</v>
      </c>
      <c r="N237" s="304">
        <f t="shared" ca="1" si="104"/>
        <v>75.932707902623378</v>
      </c>
      <c r="P237" s="310">
        <f t="shared" ca="1" si="105"/>
        <v>23</v>
      </c>
      <c r="Q237" s="304">
        <f t="shared" ca="1" si="106"/>
        <v>0</v>
      </c>
      <c r="R237" s="306">
        <f t="shared" ca="1" si="107"/>
        <v>0</v>
      </c>
      <c r="S237" s="307">
        <f t="shared" ca="1" si="108"/>
        <v>7.4799999999999969</v>
      </c>
      <c r="T237" s="304">
        <f t="shared" ca="1" si="88"/>
        <v>73.37879999999997</v>
      </c>
      <c r="U237" s="311">
        <f t="shared" ca="1" si="89"/>
        <v>0</v>
      </c>
      <c r="V237" s="306">
        <f t="shared" ca="1" si="90"/>
        <v>1.1310000544238039</v>
      </c>
      <c r="W237" s="304">
        <f t="shared" ca="1" si="91"/>
        <v>61.378928677654095</v>
      </c>
      <c r="Y237" s="314" t="str">
        <f t="shared" ca="1" si="109"/>
        <v/>
      </c>
      <c r="Z237" s="315" t="str">
        <f t="shared" ca="1" si="110"/>
        <v/>
      </c>
      <c r="AA237" s="316" t="str">
        <f t="shared" ca="1" si="111"/>
        <v/>
      </c>
      <c r="AC237" s="310" t="e">
        <f t="shared" ca="1" si="112"/>
        <v>#N/A</v>
      </c>
      <c r="AD237" s="323" t="e">
        <f t="shared" ca="1" si="113"/>
        <v>#N/A</v>
      </c>
      <c r="AE237" s="324">
        <f t="shared" ca="1" si="92"/>
        <v>797.96216812215118</v>
      </c>
      <c r="AG237" s="306">
        <f t="shared" ca="1" si="114"/>
        <v>-17.963568359122981</v>
      </c>
      <c r="AH237" s="304">
        <f t="shared" ca="1" si="115"/>
        <v>-8.443461154111036</v>
      </c>
    </row>
    <row r="238" spans="1:34" x14ac:dyDescent="0.2">
      <c r="A238" s="347">
        <f t="shared" ca="1" si="93"/>
        <v>0.1</v>
      </c>
      <c r="B238" s="304">
        <f t="shared" ca="1" si="94"/>
        <v>5.3999999999999977</v>
      </c>
      <c r="D238" s="306">
        <f t="shared" ca="1" si="95"/>
        <v>-1.9944977053268105</v>
      </c>
      <c r="E238" s="307">
        <f t="shared" ca="1" si="96"/>
        <v>-17.769656622035029</v>
      </c>
      <c r="F238" s="304">
        <f t="shared" ca="1" si="97"/>
        <v>17.881239262466885</v>
      </c>
      <c r="G238" s="306">
        <f t="shared" ca="1" si="98"/>
        <v>31.590958045656215</v>
      </c>
      <c r="H238" s="307">
        <f t="shared" ca="1" si="99"/>
        <v>125.09243579938391</v>
      </c>
      <c r="I238" s="304">
        <f t="shared" ca="1" si="100"/>
        <v>129.01978966214989</v>
      </c>
      <c r="J238" s="306">
        <f t="shared" ca="1" si="101"/>
        <v>174.15373451796293</v>
      </c>
      <c r="K238" s="307">
        <f t="shared" ca="1" si="102"/>
        <v>810.56025998519976</v>
      </c>
      <c r="L238" s="304">
        <f t="shared" ca="1" si="87"/>
        <v>829.05817547011009</v>
      </c>
      <c r="M238" s="306">
        <f t="shared" ca="1" si="103"/>
        <v>1.3234276488427688</v>
      </c>
      <c r="N238" s="304">
        <f t="shared" ca="1" si="104"/>
        <v>75.826818769612217</v>
      </c>
      <c r="P238" s="310">
        <f t="shared" ca="1" si="105"/>
        <v>23</v>
      </c>
      <c r="Q238" s="304">
        <f t="shared" ca="1" si="106"/>
        <v>0</v>
      </c>
      <c r="R238" s="306">
        <f t="shared" ca="1" si="107"/>
        <v>0</v>
      </c>
      <c r="S238" s="307">
        <f t="shared" ca="1" si="108"/>
        <v>7.4799999999999969</v>
      </c>
      <c r="T238" s="304">
        <f t="shared" ca="1" si="88"/>
        <v>73.37879999999997</v>
      </c>
      <c r="U238" s="311">
        <f t="shared" ca="1" si="89"/>
        <v>0</v>
      </c>
      <c r="V238" s="306">
        <f t="shared" ca="1" si="90"/>
        <v>1.1295738023313961</v>
      </c>
      <c r="W238" s="304">
        <f t="shared" ca="1" si="91"/>
        <v>59.651781735476028</v>
      </c>
      <c r="Y238" s="314" t="str">
        <f t="shared" ca="1" si="109"/>
        <v/>
      </c>
      <c r="Z238" s="315" t="str">
        <f t="shared" ca="1" si="110"/>
        <v/>
      </c>
      <c r="AA238" s="316" t="str">
        <f t="shared" ca="1" si="111"/>
        <v/>
      </c>
      <c r="AC238" s="310" t="e">
        <f t="shared" ca="1" si="112"/>
        <v>#N/A</v>
      </c>
      <c r="AD238" s="323" t="e">
        <f t="shared" ca="1" si="113"/>
        <v>#N/A</v>
      </c>
      <c r="AE238" s="324">
        <f t="shared" ca="1" si="92"/>
        <v>810.56025998519976</v>
      </c>
      <c r="AG238" s="306">
        <f t="shared" ca="1" si="114"/>
        <v>-17.721546326364802</v>
      </c>
      <c r="AH238" s="304">
        <f t="shared" ca="1" si="115"/>
        <v>-8.2057391280286254</v>
      </c>
    </row>
    <row r="239" spans="1:34" x14ac:dyDescent="0.2">
      <c r="A239" s="347">
        <f t="shared" ca="1" si="93"/>
        <v>0.1</v>
      </c>
      <c r="B239" s="304">
        <f t="shared" ca="1" si="94"/>
        <v>5.4999999999999973</v>
      </c>
      <c r="D239" s="306">
        <f t="shared" ca="1" si="95"/>
        <v>-1.9526674618480757</v>
      </c>
      <c r="E239" s="307">
        <f t="shared" ca="1" si="96"/>
        <v>-17.542083615690245</v>
      </c>
      <c r="F239" s="304">
        <f t="shared" ca="1" si="97"/>
        <v>17.650427977712848</v>
      </c>
      <c r="G239" s="306">
        <f t="shared" ca="1" si="98"/>
        <v>31.395691299471409</v>
      </c>
      <c r="H239" s="307">
        <f t="shared" ca="1" si="99"/>
        <v>123.33822743781488</v>
      </c>
      <c r="I239" s="304">
        <f t="shared" ca="1" si="100"/>
        <v>127.27139419238659</v>
      </c>
      <c r="J239" s="306">
        <f t="shared" ca="1" si="101"/>
        <v>177.30306698521932</v>
      </c>
      <c r="K239" s="307">
        <f t="shared" ca="1" si="102"/>
        <v>822.98179314705976</v>
      </c>
      <c r="L239" s="304">
        <f t="shared" ca="1" si="87"/>
        <v>841.86424642807765</v>
      </c>
      <c r="M239" s="306">
        <f t="shared" ca="1" si="103"/>
        <v>1.3215403314994598</v>
      </c>
      <c r="N239" s="304">
        <f t="shared" ca="1" si="104"/>
        <v>75.718683451238775</v>
      </c>
      <c r="P239" s="310">
        <f t="shared" ca="1" si="105"/>
        <v>23</v>
      </c>
      <c r="Q239" s="304">
        <f t="shared" ca="1" si="106"/>
        <v>0</v>
      </c>
      <c r="R239" s="306">
        <f t="shared" ca="1" si="107"/>
        <v>0</v>
      </c>
      <c r="S239" s="307">
        <f t="shared" ca="1" si="108"/>
        <v>7.4799999999999969</v>
      </c>
      <c r="T239" s="304">
        <f t="shared" ca="1" si="88"/>
        <v>73.37879999999997</v>
      </c>
      <c r="U239" s="311">
        <f t="shared" ca="1" si="89"/>
        <v>0</v>
      </c>
      <c r="V239" s="306">
        <f t="shared" ca="1" si="90"/>
        <v>1.1281692284399985</v>
      </c>
      <c r="W239" s="304">
        <f t="shared" ca="1" si="91"/>
        <v>57.973831337764729</v>
      </c>
      <c r="Y239" s="314" t="str">
        <f t="shared" ca="1" si="109"/>
        <v/>
      </c>
      <c r="Z239" s="315" t="str">
        <f t="shared" ca="1" si="110"/>
        <v/>
      </c>
      <c r="AA239" s="316" t="str">
        <f t="shared" ca="1" si="111"/>
        <v/>
      </c>
      <c r="AC239" s="310" t="e">
        <f t="shared" ca="1" si="112"/>
        <v>#N/A</v>
      </c>
      <c r="AD239" s="323" t="e">
        <f t="shared" ca="1" si="113"/>
        <v>#N/A</v>
      </c>
      <c r="AE239" s="324">
        <f t="shared" ca="1" si="92"/>
        <v>822.98179314705976</v>
      </c>
      <c r="AG239" s="306">
        <f t="shared" ca="1" si="114"/>
        <v>-17.486221379334435</v>
      </c>
      <c r="AH239" s="304">
        <f t="shared" ca="1" si="115"/>
        <v>-7.9748371304112373</v>
      </c>
    </row>
    <row r="240" spans="1:34" x14ac:dyDescent="0.2">
      <c r="A240" s="347">
        <f t="shared" ca="1" si="93"/>
        <v>0.1</v>
      </c>
      <c r="B240" s="304">
        <f t="shared" ca="1" si="94"/>
        <v>5.599999999999997</v>
      </c>
      <c r="D240" s="306">
        <f t="shared" ca="1" si="95"/>
        <v>-1.9119197234482181</v>
      </c>
      <c r="E240" s="307">
        <f t="shared" ca="1" si="96"/>
        <v>-17.320992111757409</v>
      </c>
      <c r="F240" s="304">
        <f t="shared" ca="1" si="97"/>
        <v>17.426193065740797</v>
      </c>
      <c r="G240" s="306">
        <f t="shared" ca="1" si="98"/>
        <v>31.204499327126587</v>
      </c>
      <c r="H240" s="307">
        <f t="shared" ca="1" si="99"/>
        <v>121.60612822663914</v>
      </c>
      <c r="I240" s="304">
        <f t="shared" ca="1" si="100"/>
        <v>125.54589280629791</v>
      </c>
      <c r="J240" s="306">
        <f t="shared" ca="1" si="101"/>
        <v>180.43307651654922</v>
      </c>
      <c r="K240" s="307">
        <f t="shared" ca="1" si="102"/>
        <v>835.22901093028247</v>
      </c>
      <c r="L240" s="304">
        <f t="shared" ca="1" si="87"/>
        <v>854.49610636959892</v>
      </c>
      <c r="M240" s="306">
        <f t="shared" ca="1" si="103"/>
        <v>1.3196127798878687</v>
      </c>
      <c r="N240" s="304">
        <f t="shared" ca="1" si="104"/>
        <v>75.608242879100956</v>
      </c>
      <c r="P240" s="310">
        <f t="shared" ca="1" si="105"/>
        <v>23</v>
      </c>
      <c r="Q240" s="304">
        <f t="shared" ca="1" si="106"/>
        <v>0</v>
      </c>
      <c r="R240" s="306">
        <f t="shared" ca="1" si="107"/>
        <v>0</v>
      </c>
      <c r="S240" s="307">
        <f t="shared" ca="1" si="108"/>
        <v>7.4799999999999969</v>
      </c>
      <c r="T240" s="304">
        <f t="shared" ca="1" si="88"/>
        <v>73.37879999999997</v>
      </c>
      <c r="U240" s="311">
        <f t="shared" ca="1" si="89"/>
        <v>0</v>
      </c>
      <c r="V240" s="306">
        <f t="shared" ca="1" si="90"/>
        <v>1.1267860050539553</v>
      </c>
      <c r="W240" s="304">
        <f t="shared" ca="1" si="91"/>
        <v>56.343343207865885</v>
      </c>
      <c r="Y240" s="314" t="str">
        <f t="shared" ca="1" si="109"/>
        <v/>
      </c>
      <c r="Z240" s="315" t="str">
        <f t="shared" ca="1" si="110"/>
        <v/>
      </c>
      <c r="AA240" s="316" t="str">
        <f t="shared" ca="1" si="111"/>
        <v/>
      </c>
      <c r="AC240" s="310" t="e">
        <f t="shared" ca="1" si="112"/>
        <v>#N/A</v>
      </c>
      <c r="AD240" s="323" t="e">
        <f t="shared" ca="1" si="113"/>
        <v>#N/A</v>
      </c>
      <c r="AE240" s="324">
        <f t="shared" ca="1" si="92"/>
        <v>835.22901093028247</v>
      </c>
      <c r="AG240" s="306">
        <f t="shared" ca="1" si="114"/>
        <v>-17.257346160875727</v>
      </c>
      <c r="AH240" s="304">
        <f t="shared" ca="1" si="115"/>
        <v>-7.7505122109311166</v>
      </c>
    </row>
    <row r="241" spans="1:34" x14ac:dyDescent="0.2">
      <c r="A241" s="347">
        <f t="shared" ca="1" si="93"/>
        <v>0.1</v>
      </c>
      <c r="B241" s="304">
        <f t="shared" ca="1" si="94"/>
        <v>5.6999999999999966</v>
      </c>
      <c r="D241" s="306">
        <f t="shared" ca="1" si="95"/>
        <v>-1.8722150165473588</v>
      </c>
      <c r="E241" s="307">
        <f t="shared" ca="1" si="96"/>
        <v>-17.106153576550987</v>
      </c>
      <c r="F241" s="304">
        <f t="shared" ca="1" si="97"/>
        <v>17.208302625556467</v>
      </c>
      <c r="G241" s="306">
        <f t="shared" ca="1" si="98"/>
        <v>31.017277825471851</v>
      </c>
      <c r="H241" s="307">
        <f t="shared" ca="1" si="99"/>
        <v>119.89551286898404</v>
      </c>
      <c r="I241" s="304">
        <f t="shared" ca="1" si="100"/>
        <v>123.84266441666711</v>
      </c>
      <c r="J241" s="306">
        <f t="shared" ca="1" si="101"/>
        <v>183.54416537417913</v>
      </c>
      <c r="K241" s="307">
        <f t="shared" ca="1" si="102"/>
        <v>847.30409298506368</v>
      </c>
      <c r="L241" s="304">
        <f t="shared" ca="1" si="87"/>
        <v>866.95598886687753</v>
      </c>
      <c r="M241" s="306">
        <f t="shared" ca="1" si="103"/>
        <v>1.3176439249908649</v>
      </c>
      <c r="N241" s="304">
        <f t="shared" ca="1" si="104"/>
        <v>75.495435803028982</v>
      </c>
      <c r="P241" s="310">
        <f t="shared" ca="1" si="105"/>
        <v>23</v>
      </c>
      <c r="Q241" s="304">
        <f t="shared" ca="1" si="106"/>
        <v>0</v>
      </c>
      <c r="R241" s="306">
        <f t="shared" ca="1" si="107"/>
        <v>0</v>
      </c>
      <c r="S241" s="307">
        <f t="shared" ca="1" si="108"/>
        <v>7.4799999999999969</v>
      </c>
      <c r="T241" s="304">
        <f t="shared" ca="1" si="88"/>
        <v>73.37879999999997</v>
      </c>
      <c r="U241" s="311">
        <f t="shared" ca="1" si="89"/>
        <v>0</v>
      </c>
      <c r="V241" s="306">
        <f t="shared" ca="1" si="90"/>
        <v>1.1254238141030461</v>
      </c>
      <c r="W241" s="304">
        <f t="shared" ca="1" si="91"/>
        <v>54.758661567809106</v>
      </c>
      <c r="Y241" s="314" t="str">
        <f t="shared" ca="1" si="109"/>
        <v/>
      </c>
      <c r="Z241" s="315" t="str">
        <f t="shared" ca="1" si="110"/>
        <v/>
      </c>
      <c r="AA241" s="316" t="str">
        <f t="shared" ca="1" si="111"/>
        <v/>
      </c>
      <c r="AC241" s="310" t="e">
        <f t="shared" ca="1" si="112"/>
        <v>#N/A</v>
      </c>
      <c r="AD241" s="323" t="e">
        <f t="shared" ca="1" si="113"/>
        <v>#N/A</v>
      </c>
      <c r="AE241" s="324">
        <f t="shared" ca="1" si="92"/>
        <v>847.30409298506368</v>
      </c>
      <c r="AG241" s="306">
        <f t="shared" ca="1" si="114"/>
        <v>-17.034684207617872</v>
      </c>
      <c r="AH241" s="304">
        <f t="shared" ca="1" si="115"/>
        <v>-7.5325325144205761</v>
      </c>
    </row>
    <row r="242" spans="1:34" x14ac:dyDescent="0.2">
      <c r="A242" s="347">
        <f t="shared" ca="1" si="93"/>
        <v>0.1</v>
      </c>
      <c r="B242" s="304">
        <f t="shared" ca="1" si="94"/>
        <v>5.7999999999999963</v>
      </c>
      <c r="D242" s="306">
        <f t="shared" ca="1" si="95"/>
        <v>-1.8335156428473665</v>
      </c>
      <c r="E242" s="307">
        <f t="shared" ca="1" si="96"/>
        <v>-16.89734981804116</v>
      </c>
      <c r="F242" s="304">
        <f t="shared" ca="1" si="97"/>
        <v>16.996535249450744</v>
      </c>
      <c r="G242" s="306">
        <f t="shared" ca="1" si="98"/>
        <v>30.833926261187113</v>
      </c>
      <c r="H242" s="307">
        <f t="shared" ca="1" si="99"/>
        <v>118.20577788717992</v>
      </c>
      <c r="I242" s="304">
        <f t="shared" ca="1" si="100"/>
        <v>122.16111056548904</v>
      </c>
      <c r="J242" s="306">
        <f t="shared" ca="1" si="101"/>
        <v>186.63672557851208</v>
      </c>
      <c r="K242" s="307">
        <f t="shared" ca="1" si="102"/>
        <v>859.20915752287192</v>
      </c>
      <c r="L242" s="304">
        <f t="shared" ca="1" si="87"/>
        <v>879.24606550489159</v>
      </c>
      <c r="M242" s="306">
        <f t="shared" ca="1" si="103"/>
        <v>1.3156326580232285</v>
      </c>
      <c r="N242" s="304">
        <f t="shared" ca="1" si="104"/>
        <v>75.380198694309342</v>
      </c>
      <c r="P242" s="310">
        <f t="shared" ca="1" si="105"/>
        <v>23</v>
      </c>
      <c r="Q242" s="304">
        <f t="shared" ca="1" si="106"/>
        <v>0</v>
      </c>
      <c r="R242" s="306">
        <f t="shared" ca="1" si="107"/>
        <v>0</v>
      </c>
      <c r="S242" s="307">
        <f t="shared" ca="1" si="108"/>
        <v>7.4799999999999969</v>
      </c>
      <c r="T242" s="304">
        <f t="shared" ca="1" si="88"/>
        <v>73.37879999999997</v>
      </c>
      <c r="U242" s="311">
        <f t="shared" ca="1" si="89"/>
        <v>0</v>
      </c>
      <c r="V242" s="306">
        <f t="shared" ca="1" si="90"/>
        <v>1.1240823467930063</v>
      </c>
      <c r="W242" s="304">
        <f t="shared" ca="1" si="91"/>
        <v>53.218204928397363</v>
      </c>
      <c r="Y242" s="314" t="str">
        <f t="shared" ca="1" si="109"/>
        <v/>
      </c>
      <c r="Z242" s="315" t="str">
        <f t="shared" ca="1" si="110"/>
        <v/>
      </c>
      <c r="AA242" s="316" t="str">
        <f t="shared" ca="1" si="111"/>
        <v/>
      </c>
      <c r="AC242" s="310" t="e">
        <f t="shared" ca="1" si="112"/>
        <v>#N/A</v>
      </c>
      <c r="AD242" s="323" t="e">
        <f t="shared" ca="1" si="113"/>
        <v>#N/A</v>
      </c>
      <c r="AE242" s="324">
        <f t="shared" ca="1" si="92"/>
        <v>859.20915752287192</v>
      </c>
      <c r="AG242" s="306">
        <f t="shared" ca="1" si="114"/>
        <v>-16.818009338403066</v>
      </c>
      <c r="AH242" s="304">
        <f t="shared" ca="1" si="115"/>
        <v>-7.3206766801883862</v>
      </c>
    </row>
    <row r="243" spans="1:34" x14ac:dyDescent="0.2">
      <c r="A243" s="347">
        <f t="shared" ca="1" si="93"/>
        <v>0.1</v>
      </c>
      <c r="B243" s="304">
        <f t="shared" ca="1" si="94"/>
        <v>5.8999999999999959</v>
      </c>
      <c r="D243" s="306">
        <f t="shared" ca="1" si="95"/>
        <v>-1.7957855841625288</v>
      </c>
      <c r="E243" s="307">
        <f t="shared" ca="1" si="96"/>
        <v>-16.694372431081472</v>
      </c>
      <c r="F243" s="304">
        <f t="shared" ca="1" si="97"/>
        <v>16.790679460103426</v>
      </c>
      <c r="G243" s="306">
        <f t="shared" ca="1" si="98"/>
        <v>30.65434770277086</v>
      </c>
      <c r="H243" s="307">
        <f t="shared" ca="1" si="99"/>
        <v>116.53634064407177</v>
      </c>
      <c r="I243" s="304">
        <f t="shared" ca="1" si="100"/>
        <v>120.50065445379749</v>
      </c>
      <c r="J243" s="306">
        <f t="shared" ca="1" si="101"/>
        <v>189.71113927670999</v>
      </c>
      <c r="K243" s="307">
        <f t="shared" ca="1" si="102"/>
        <v>870.94626344943447</v>
      </c>
      <c r="L243" s="304">
        <f t="shared" ca="1" si="87"/>
        <v>891.3684480517577</v>
      </c>
      <c r="M243" s="306">
        <f t="shared" ca="1" si="103"/>
        <v>1.3135778286528927</v>
      </c>
      <c r="N243" s="304">
        <f t="shared" ca="1" si="104"/>
        <v>75.262465643769573</v>
      </c>
      <c r="P243" s="310">
        <f t="shared" ca="1" si="105"/>
        <v>23</v>
      </c>
      <c r="Q243" s="304">
        <f t="shared" ca="1" si="106"/>
        <v>0</v>
      </c>
      <c r="R243" s="306">
        <f t="shared" ca="1" si="107"/>
        <v>0</v>
      </c>
      <c r="S243" s="307">
        <f t="shared" ca="1" si="108"/>
        <v>7.4799999999999969</v>
      </c>
      <c r="T243" s="304">
        <f t="shared" ca="1" si="88"/>
        <v>73.37879999999997</v>
      </c>
      <c r="U243" s="311">
        <f t="shared" ca="1" si="89"/>
        <v>0</v>
      </c>
      <c r="V243" s="306">
        <f t="shared" ca="1" si="90"/>
        <v>1.1227613032721955</v>
      </c>
      <c r="W243" s="304">
        <f t="shared" ca="1" si="91"/>
        <v>51.720462142239811</v>
      </c>
      <c r="Y243" s="314" t="str">
        <f t="shared" ca="1" si="109"/>
        <v/>
      </c>
      <c r="Z243" s="315" t="str">
        <f t="shared" ca="1" si="110"/>
        <v/>
      </c>
      <c r="AA243" s="316" t="str">
        <f t="shared" ca="1" si="111"/>
        <v/>
      </c>
      <c r="AC243" s="310" t="e">
        <f t="shared" ca="1" si="112"/>
        <v>#N/A</v>
      </c>
      <c r="AD243" s="323" t="e">
        <f t="shared" ca="1" si="113"/>
        <v>#N/A</v>
      </c>
      <c r="AE243" s="324">
        <f t="shared" ca="1" si="92"/>
        <v>870.94626344943447</v>
      </c>
      <c r="AG243" s="306">
        <f t="shared" ca="1" si="114"/>
        <v>-16.6071050798909</v>
      </c>
      <c r="AH243" s="304">
        <f t="shared" ca="1" si="115"/>
        <v>-7.1147332791975115</v>
      </c>
    </row>
    <row r="244" spans="1:34" x14ac:dyDescent="0.2">
      <c r="A244" s="347">
        <f t="shared" ca="1" si="93"/>
        <v>0.1</v>
      </c>
      <c r="B244" s="304">
        <f t="shared" ca="1" si="94"/>
        <v>5.9999999999999956</v>
      </c>
      <c r="D244" s="306">
        <f t="shared" ca="1" si="95"/>
        <v>-1.7589904132126704</v>
      </c>
      <c r="E244" s="307">
        <f t="shared" ca="1" si="96"/>
        <v>-16.497022277276496</v>
      </c>
      <c r="F244" s="304">
        <f t="shared" ca="1" si="97"/>
        <v>16.590533182834452</v>
      </c>
      <c r="G244" s="306">
        <f t="shared" ca="1" si="98"/>
        <v>30.478448661449594</v>
      </c>
      <c r="H244" s="307">
        <f t="shared" ca="1" si="99"/>
        <v>114.88663841634413</v>
      </c>
      <c r="I244" s="304">
        <f t="shared" ca="1" si="100"/>
        <v>118.86074002552911</v>
      </c>
      <c r="J244" s="306">
        <f t="shared" ca="1" si="101"/>
        <v>192.767779094921</v>
      </c>
      <c r="K244" s="307">
        <f t="shared" ca="1" si="102"/>
        <v>882.51741240245531</v>
      </c>
      <c r="L244" s="304">
        <f t="shared" ca="1" si="87"/>
        <v>903.32519053257533</v>
      </c>
      <c r="M244" s="306">
        <f t="shared" ca="1" si="103"/>
        <v>1.3114782431270715</v>
      </c>
      <c r="N244" s="304">
        <f t="shared" ca="1" si="104"/>
        <v>75.142168254413264</v>
      </c>
      <c r="P244" s="310">
        <f t="shared" ca="1" si="105"/>
        <v>23</v>
      </c>
      <c r="Q244" s="304">
        <f t="shared" ca="1" si="106"/>
        <v>0</v>
      </c>
      <c r="R244" s="306">
        <f t="shared" ca="1" si="107"/>
        <v>0</v>
      </c>
      <c r="S244" s="307">
        <f t="shared" ca="1" si="108"/>
        <v>7.4799999999999969</v>
      </c>
      <c r="T244" s="304">
        <f t="shared" ca="1" si="88"/>
        <v>73.37879999999997</v>
      </c>
      <c r="U244" s="311">
        <f t="shared" ca="1" si="89"/>
        <v>0</v>
      </c>
      <c r="V244" s="306">
        <f t="shared" ca="1" si="90"/>
        <v>1.1214603923135307</v>
      </c>
      <c r="W244" s="304">
        <f t="shared" ca="1" si="91"/>
        <v>50.263988701089424</v>
      </c>
      <c r="Y244" s="314" t="str">
        <f t="shared" ca="1" si="109"/>
        <v/>
      </c>
      <c r="Z244" s="315" t="str">
        <f t="shared" ca="1" si="110"/>
        <v/>
      </c>
      <c r="AA244" s="316" t="str">
        <f t="shared" ca="1" si="111"/>
        <v/>
      </c>
      <c r="AC244" s="310">
        <f t="shared" ca="1" si="112"/>
        <v>5.9999999999999956</v>
      </c>
      <c r="AD244" s="323">
        <f t="shared" ca="1" si="113"/>
        <v>192.767779094921</v>
      </c>
      <c r="AE244" s="324">
        <f t="shared" ca="1" si="92"/>
        <v>882.51741240245531</v>
      </c>
      <c r="AG244" s="306">
        <f t="shared" ca="1" si="114"/>
        <v>-16.401764126582389</v>
      </c>
      <c r="AH244" s="304">
        <f t="shared" ca="1" si="115"/>
        <v>-6.9145002863956995</v>
      </c>
    </row>
    <row r="245" spans="1:34" x14ac:dyDescent="0.2">
      <c r="A245" s="347">
        <f t="shared" ca="1" si="93"/>
        <v>0.1</v>
      </c>
      <c r="B245" s="304">
        <f t="shared" ca="1" si="94"/>
        <v>6.0999999999999952</v>
      </c>
      <c r="D245" s="306">
        <f t="shared" ca="1" si="95"/>
        <v>-1.7230972099575219</v>
      </c>
      <c r="E245" s="307">
        <f t="shared" ca="1" si="96"/>
        <v>-16.305108997033379</v>
      </c>
      <c r="F245" s="304">
        <f t="shared" ca="1" si="97"/>
        <v>16.395903250510546</v>
      </c>
      <c r="G245" s="306">
        <f t="shared" ca="1" si="98"/>
        <v>30.306138940453842</v>
      </c>
      <c r="H245" s="307">
        <f t="shared" ca="1" si="99"/>
        <v>113.25612751664079</v>
      </c>
      <c r="I245" s="304">
        <f t="shared" ca="1" si="100"/>
        <v>117.24083110223883</v>
      </c>
      <c r="J245" s="306">
        <f t="shared" ca="1" si="101"/>
        <v>195.80700847501618</v>
      </c>
      <c r="K245" s="307">
        <f t="shared" ca="1" si="102"/>
        <v>893.92455069910454</v>
      </c>
      <c r="L245" s="304">
        <f t="shared" ca="1" si="87"/>
        <v>915.11829121186895</v>
      </c>
      <c r="M245" s="306">
        <f t="shared" ca="1" si="103"/>
        <v>1.3093326622974881</v>
      </c>
      <c r="N245" s="304">
        <f t="shared" ca="1" si="104"/>
        <v>75.019235528273953</v>
      </c>
      <c r="P245" s="310">
        <f t="shared" ca="1" si="105"/>
        <v>23</v>
      </c>
      <c r="Q245" s="304">
        <f t="shared" ca="1" si="106"/>
        <v>0</v>
      </c>
      <c r="R245" s="306">
        <f t="shared" ca="1" si="107"/>
        <v>0</v>
      </c>
      <c r="S245" s="307">
        <f t="shared" ca="1" si="108"/>
        <v>7.4799999999999969</v>
      </c>
      <c r="T245" s="304">
        <f t="shared" ca="1" si="88"/>
        <v>73.37879999999997</v>
      </c>
      <c r="U245" s="311">
        <f t="shared" ca="1" si="89"/>
        <v>0</v>
      </c>
      <c r="V245" s="306">
        <f t="shared" ca="1" si="90"/>
        <v>1.1201793310108645</v>
      </c>
      <c r="W245" s="304">
        <f t="shared" ca="1" si="91"/>
        <v>48.847403260324128</v>
      </c>
      <c r="Y245" s="314" t="str">
        <f t="shared" ca="1" si="109"/>
        <v/>
      </c>
      <c r="Z245" s="315" t="str">
        <f t="shared" ca="1" si="110"/>
        <v/>
      </c>
      <c r="AA245" s="316" t="str">
        <f t="shared" ca="1" si="111"/>
        <v/>
      </c>
      <c r="AC245" s="310" t="e">
        <f t="shared" ca="1" si="112"/>
        <v>#N/A</v>
      </c>
      <c r="AD245" s="323" t="e">
        <f t="shared" ca="1" si="113"/>
        <v>#N/A</v>
      </c>
      <c r="AE245" s="324">
        <f t="shared" ca="1" si="92"/>
        <v>893.92455069910454</v>
      </c>
      <c r="AG245" s="306">
        <f t="shared" ca="1" si="114"/>
        <v>-16.201787832719312</v>
      </c>
      <c r="AH245" s="304">
        <f t="shared" ca="1" si="115"/>
        <v>-6.7197845857071448</v>
      </c>
    </row>
    <row r="246" spans="1:34" x14ac:dyDescent="0.2">
      <c r="A246" s="347">
        <f t="shared" ca="1" si="93"/>
        <v>0.1</v>
      </c>
      <c r="B246" s="304">
        <f t="shared" ca="1" si="94"/>
        <v>6.1999999999999948</v>
      </c>
      <c r="D246" s="306">
        <f t="shared" ca="1" si="95"/>
        <v>-1.6880744830846488</v>
      </c>
      <c r="E246" s="307">
        <f t="shared" ca="1" si="96"/>
        <v>-16.118450551535663</v>
      </c>
      <c r="F246" s="304">
        <f t="shared" ca="1" si="97"/>
        <v>16.206604938812504</v>
      </c>
      <c r="G246" s="306">
        <f t="shared" ca="1" si="98"/>
        <v>30.137331492145378</v>
      </c>
      <c r="H246" s="307">
        <f t="shared" ca="1" si="99"/>
        <v>111.64428246148722</v>
      </c>
      <c r="I246" s="304">
        <f t="shared" ca="1" si="100"/>
        <v>115.6404105657179</v>
      </c>
      <c r="J246" s="306">
        <f t="shared" ca="1" si="101"/>
        <v>198.82918199664613</v>
      </c>
      <c r="K246" s="307">
        <f t="shared" ca="1" si="102"/>
        <v>905.169571198011</v>
      </c>
      <c r="L246" s="304">
        <f t="shared" ca="1" si="87"/>
        <v>926.74969448942704</v>
      </c>
      <c r="M246" s="306">
        <f t="shared" ca="1" si="103"/>
        <v>1.3071397995385328</v>
      </c>
      <c r="N246" s="304">
        <f t="shared" ca="1" si="104"/>
        <v>74.893593747134403</v>
      </c>
      <c r="P246" s="310">
        <f t="shared" ca="1" si="105"/>
        <v>23</v>
      </c>
      <c r="Q246" s="304">
        <f t="shared" ca="1" si="106"/>
        <v>0</v>
      </c>
      <c r="R246" s="306">
        <f t="shared" ca="1" si="107"/>
        <v>0</v>
      </c>
      <c r="S246" s="307">
        <f t="shared" ca="1" si="108"/>
        <v>7.4799999999999969</v>
      </c>
      <c r="T246" s="304">
        <f t="shared" ca="1" si="88"/>
        <v>73.37879999999997</v>
      </c>
      <c r="U246" s="311">
        <f t="shared" ca="1" si="89"/>
        <v>0</v>
      </c>
      <c r="V246" s="306">
        <f t="shared" ca="1" si="90"/>
        <v>1.1189178444890253</v>
      </c>
      <c r="W246" s="304">
        <f t="shared" ca="1" si="91"/>
        <v>47.46938437475805</v>
      </c>
      <c r="Y246" s="314" t="str">
        <f t="shared" ca="1" si="109"/>
        <v/>
      </c>
      <c r="Z246" s="315" t="str">
        <f t="shared" ca="1" si="110"/>
        <v/>
      </c>
      <c r="AA246" s="316" t="str">
        <f t="shared" ca="1" si="111"/>
        <v/>
      </c>
      <c r="AC246" s="310" t="e">
        <f t="shared" ca="1" si="112"/>
        <v>#N/A</v>
      </c>
      <c r="AD246" s="323" t="e">
        <f t="shared" ca="1" si="113"/>
        <v>#N/A</v>
      </c>
      <c r="AE246" s="324">
        <f t="shared" ca="1" si="92"/>
        <v>905.169571198011</v>
      </c>
      <c r="AG246" s="306">
        <f t="shared" ca="1" si="114"/>
        <v>-16.006985733707864</v>
      </c>
      <c r="AH246" s="304">
        <f t="shared" ca="1" si="115"/>
        <v>-6.5304015053909286</v>
      </c>
    </row>
    <row r="247" spans="1:34" x14ac:dyDescent="0.2">
      <c r="A247" s="347">
        <f t="shared" ca="1" si="93"/>
        <v>0.1</v>
      </c>
      <c r="B247" s="304">
        <f t="shared" ca="1" si="94"/>
        <v>6.2999999999999945</v>
      </c>
      <c r="D247" s="306">
        <f t="shared" ca="1" si="95"/>
        <v>-1.6538920962938055</v>
      </c>
      <c r="E247" s="307">
        <f t="shared" ca="1" si="96"/>
        <v>-15.936872792555343</v>
      </c>
      <c r="F247" s="304">
        <f t="shared" ca="1" si="97"/>
        <v>16.0224615297486</v>
      </c>
      <c r="G247" s="306">
        <f t="shared" ca="1" si="98"/>
        <v>29.971942282515997</v>
      </c>
      <c r="H247" s="307">
        <f t="shared" ca="1" si="99"/>
        <v>110.05059518223169</v>
      </c>
      <c r="I247" s="304">
        <f t="shared" ca="1" si="100"/>
        <v>114.05897958578231</v>
      </c>
      <c r="J247" s="306">
        <f t="shared" ca="1" si="101"/>
        <v>201.8346456853792</v>
      </c>
      <c r="K247" s="307">
        <f t="shared" ca="1" si="102"/>
        <v>916.25431508019699</v>
      </c>
      <c r="L247" s="304">
        <f t="shared" ca="1" si="87"/>
        <v>938.22129271405026</v>
      </c>
      <c r="M247" s="306">
        <f t="shared" ca="1" si="103"/>
        <v>1.3048983185517518</v>
      </c>
      <c r="N247" s="304">
        <f t="shared" ca="1" si="104"/>
        <v>74.765166346733025</v>
      </c>
      <c r="P247" s="310">
        <f t="shared" ca="1" si="105"/>
        <v>23</v>
      </c>
      <c r="Q247" s="304">
        <f t="shared" ca="1" si="106"/>
        <v>0</v>
      </c>
      <c r="R247" s="306">
        <f t="shared" ca="1" si="107"/>
        <v>0</v>
      </c>
      <c r="S247" s="307">
        <f t="shared" ca="1" si="108"/>
        <v>7.4799999999999969</v>
      </c>
      <c r="T247" s="304">
        <f t="shared" ca="1" si="88"/>
        <v>73.37879999999997</v>
      </c>
      <c r="U247" s="311">
        <f t="shared" ca="1" si="89"/>
        <v>0</v>
      </c>
      <c r="V247" s="306">
        <f t="shared" ca="1" si="90"/>
        <v>1.1176756656268034</v>
      </c>
      <c r="W247" s="304">
        <f t="shared" ca="1" si="91"/>
        <v>46.128667431200824</v>
      </c>
      <c r="Y247" s="314" t="str">
        <f t="shared" ca="1" si="109"/>
        <v/>
      </c>
      <c r="Z247" s="315" t="str">
        <f t="shared" ca="1" si="110"/>
        <v/>
      </c>
      <c r="AA247" s="316" t="str">
        <f t="shared" ca="1" si="111"/>
        <v/>
      </c>
      <c r="AC247" s="310" t="e">
        <f t="shared" ca="1" si="112"/>
        <v>#N/A</v>
      </c>
      <c r="AD247" s="323" t="e">
        <f t="shared" ca="1" si="113"/>
        <v>#N/A</v>
      </c>
      <c r="AE247" s="324">
        <f t="shared" ca="1" si="92"/>
        <v>916.25431508019699</v>
      </c>
      <c r="AG247" s="306">
        <f t="shared" ca="1" si="114"/>
        <v>-15.817175094891361</v>
      </c>
      <c r="AH247" s="304">
        <f t="shared" ca="1" si="115"/>
        <v>-6.3461743816521485</v>
      </c>
    </row>
    <row r="248" spans="1:34" x14ac:dyDescent="0.2">
      <c r="A248" s="347">
        <f t="shared" ca="1" si="93"/>
        <v>0.1</v>
      </c>
      <c r="B248" s="304">
        <f t="shared" ca="1" si="94"/>
        <v>6.3999999999999941</v>
      </c>
      <c r="D248" s="306">
        <f t="shared" ca="1" si="95"/>
        <v>-1.6205211990485426</v>
      </c>
      <c r="E248" s="307">
        <f t="shared" ca="1" si="96"/>
        <v>-15.760209058181371</v>
      </c>
      <c r="F248" s="304">
        <f t="shared" ca="1" si="97"/>
        <v>15.843303901464109</v>
      </c>
      <c r="G248" s="306">
        <f t="shared" ca="1" si="98"/>
        <v>29.809890162611143</v>
      </c>
      <c r="H248" s="307">
        <f t="shared" ca="1" si="99"/>
        <v>108.47457427641355</v>
      </c>
      <c r="I248" s="304">
        <f t="shared" ca="1" si="100"/>
        <v>112.49605689070218</v>
      </c>
      <c r="J248" s="306">
        <f t="shared" ca="1" si="101"/>
        <v>204.82373730763555</v>
      </c>
      <c r="K248" s="307">
        <f t="shared" ca="1" si="102"/>
        <v>927.18057355312931</v>
      </c>
      <c r="L248" s="304">
        <f t="shared" ca="1" si="87"/>
        <v>949.53492791944052</v>
      </c>
      <c r="M248" s="306">
        <f t="shared" ca="1" si="103"/>
        <v>1.3026068310496208</v>
      </c>
      <c r="N248" s="304">
        <f t="shared" ca="1" si="104"/>
        <v>74.633873784053947</v>
      </c>
      <c r="P248" s="310">
        <f t="shared" ca="1" si="105"/>
        <v>23</v>
      </c>
      <c r="Q248" s="304">
        <f t="shared" ca="1" si="106"/>
        <v>0</v>
      </c>
      <c r="R248" s="306">
        <f t="shared" ca="1" si="107"/>
        <v>0</v>
      </c>
      <c r="S248" s="307">
        <f t="shared" ca="1" si="108"/>
        <v>7.4799999999999969</v>
      </c>
      <c r="T248" s="304">
        <f t="shared" ca="1" si="88"/>
        <v>73.37879999999997</v>
      </c>
      <c r="U248" s="311">
        <f t="shared" ca="1" si="89"/>
        <v>0</v>
      </c>
      <c r="V248" s="306">
        <f t="shared" ca="1" si="90"/>
        <v>1.1164525347921972</v>
      </c>
      <c r="W248" s="304">
        <f t="shared" ca="1" si="91"/>
        <v>44.824041764308681</v>
      </c>
      <c r="Y248" s="314" t="str">
        <f t="shared" ca="1" si="109"/>
        <v/>
      </c>
      <c r="Z248" s="315" t="str">
        <f t="shared" ca="1" si="110"/>
        <v/>
      </c>
      <c r="AA248" s="316" t="str">
        <f t="shared" ca="1" si="111"/>
        <v/>
      </c>
      <c r="AC248" s="310" t="e">
        <f t="shared" ca="1" si="112"/>
        <v>#N/A</v>
      </c>
      <c r="AD248" s="323" t="e">
        <f t="shared" ca="1" si="113"/>
        <v>#N/A</v>
      </c>
      <c r="AE248" s="324">
        <f t="shared" ca="1" si="92"/>
        <v>927.18057355312931</v>
      </c>
      <c r="AG248" s="306">
        <f t="shared" ca="1" si="114"/>
        <v>-15.632180485656292</v>
      </c>
      <c r="AH248" s="304">
        <f t="shared" ca="1" si="115"/>
        <v>-6.1669341485562628</v>
      </c>
    </row>
    <row r="249" spans="1:34" x14ac:dyDescent="0.2">
      <c r="A249" s="347">
        <f t="shared" ca="1" si="93"/>
        <v>0.1</v>
      </c>
      <c r="B249" s="304">
        <f t="shared" ca="1" si="94"/>
        <v>6.4999999999999938</v>
      </c>
      <c r="D249" s="306">
        <f t="shared" ca="1" si="95"/>
        <v>-1.5879341614914455</v>
      </c>
      <c r="E249" s="307">
        <f t="shared" ca="1" si="96"/>
        <v>-15.588299792691029</v>
      </c>
      <c r="F249" s="304">
        <f t="shared" ca="1" si="97"/>
        <v>15.668970142547426</v>
      </c>
      <c r="G249" s="306">
        <f t="shared" ca="1" si="98"/>
        <v>29.651096746461999</v>
      </c>
      <c r="H249" s="307">
        <f t="shared" ca="1" si="99"/>
        <v>106.91574429714444</v>
      </c>
      <c r="I249" s="304">
        <f t="shared" ca="1" si="100"/>
        <v>110.95117807792951</v>
      </c>
      <c r="J249" s="306">
        <f t="shared" ca="1" si="101"/>
        <v>207.79678665308921</v>
      </c>
      <c r="K249" s="307">
        <f t="shared" ca="1" si="102"/>
        <v>937.95008948180725</v>
      </c>
      <c r="L249" s="304">
        <f t="shared" ca="1" si="87"/>
        <v>960.69239348621875</v>
      </c>
      <c r="M249" s="306">
        <f t="shared" ca="1" si="103"/>
        <v>1.3002638943110705</v>
      </c>
      <c r="N249" s="304">
        <f t="shared" ca="1" si="104"/>
        <v>74.499633397268866</v>
      </c>
      <c r="P249" s="310">
        <f t="shared" ca="1" si="105"/>
        <v>23</v>
      </c>
      <c r="Q249" s="304">
        <f t="shared" ca="1" si="106"/>
        <v>0</v>
      </c>
      <c r="R249" s="306">
        <f t="shared" ca="1" si="107"/>
        <v>0</v>
      </c>
      <c r="S249" s="307">
        <f t="shared" ca="1" si="108"/>
        <v>7.4799999999999969</v>
      </c>
      <c r="T249" s="304">
        <f t="shared" ca="1" si="88"/>
        <v>73.37879999999997</v>
      </c>
      <c r="U249" s="311">
        <f t="shared" ca="1" si="89"/>
        <v>0</v>
      </c>
      <c r="V249" s="306">
        <f t="shared" ca="1" si="90"/>
        <v>1.1152481995892798</v>
      </c>
      <c r="W249" s="304">
        <f t="shared" ca="1" si="91"/>
        <v>43.554347943300009</v>
      </c>
      <c r="Y249" s="314" t="str">
        <f t="shared" ca="1" si="109"/>
        <v/>
      </c>
      <c r="Z249" s="315" t="str">
        <f t="shared" ca="1" si="110"/>
        <v/>
      </c>
      <c r="AA249" s="316" t="str">
        <f t="shared" ca="1" si="111"/>
        <v/>
      </c>
      <c r="AC249" s="310" t="e">
        <f t="shared" ca="1" si="112"/>
        <v>#N/A</v>
      </c>
      <c r="AD249" s="323" t="e">
        <f t="shared" ca="1" si="113"/>
        <v>#N/A</v>
      </c>
      <c r="AE249" s="324">
        <f t="shared" ca="1" si="92"/>
        <v>937.95008948180725</v>
      </c>
      <c r="AG249" s="306">
        <f t="shared" ca="1" si="114"/>
        <v>-15.451833377001247</v>
      </c>
      <c r="AH249" s="304">
        <f t="shared" ca="1" si="115"/>
        <v>-5.9925189524476874</v>
      </c>
    </row>
    <row r="250" spans="1:34" x14ac:dyDescent="0.2">
      <c r="A250" s="347">
        <f t="shared" ca="1" si="93"/>
        <v>0.1</v>
      </c>
      <c r="B250" s="304">
        <f t="shared" ca="1" si="94"/>
        <v>6.5999999999999934</v>
      </c>
      <c r="D250" s="306">
        <f t="shared" ca="1" si="95"/>
        <v>-1.5561045132427431</v>
      </c>
      <c r="E250" s="307">
        <f t="shared" ca="1" si="96"/>
        <v>-15.420992188926208</v>
      </c>
      <c r="F250" s="304">
        <f t="shared" ca="1" si="97"/>
        <v>15.499305189170821</v>
      </c>
      <c r="G250" s="306">
        <f t="shared" ca="1" si="98"/>
        <v>29.495486295137724</v>
      </c>
      <c r="H250" s="307">
        <f t="shared" ca="1" si="99"/>
        <v>105.37364507825183</v>
      </c>
      <c r="I250" s="304">
        <f t="shared" ca="1" si="100"/>
        <v>109.42389496295607</v>
      </c>
      <c r="J250" s="306">
        <f t="shared" ca="1" si="101"/>
        <v>210.75411580516919</v>
      </c>
      <c r="K250" s="307">
        <f t="shared" ca="1" si="102"/>
        <v>948.56455895057707</v>
      </c>
      <c r="L250" s="304">
        <f t="shared" ca="1" si="87"/>
        <v>971.69543573381134</v>
      </c>
      <c r="M250" s="306">
        <f t="shared" ca="1" si="103"/>
        <v>1.2978680086007084</v>
      </c>
      <c r="N250" s="304">
        <f t="shared" ca="1" si="104"/>
        <v>74.362359257869414</v>
      </c>
      <c r="P250" s="310">
        <f t="shared" ca="1" si="105"/>
        <v>23</v>
      </c>
      <c r="Q250" s="304">
        <f t="shared" ca="1" si="106"/>
        <v>0</v>
      </c>
      <c r="R250" s="306">
        <f t="shared" ca="1" si="107"/>
        <v>0</v>
      </c>
      <c r="S250" s="307">
        <f t="shared" ca="1" si="108"/>
        <v>7.4799999999999969</v>
      </c>
      <c r="T250" s="304">
        <f t="shared" ca="1" si="88"/>
        <v>73.37879999999997</v>
      </c>
      <c r="U250" s="311">
        <f t="shared" ca="1" si="89"/>
        <v>0</v>
      </c>
      <c r="V250" s="306">
        <f t="shared" ca="1" si="90"/>
        <v>1.1140624146160909</v>
      </c>
      <c r="W250" s="304">
        <f t="shared" ca="1" si="91"/>
        <v>42.318475218051489</v>
      </c>
      <c r="Y250" s="314" t="str">
        <f t="shared" ca="1" si="109"/>
        <v/>
      </c>
      <c r="Z250" s="315" t="str">
        <f t="shared" ca="1" si="110"/>
        <v/>
      </c>
      <c r="AA250" s="316" t="str">
        <f t="shared" ca="1" si="111"/>
        <v/>
      </c>
      <c r="AC250" s="310" t="e">
        <f t="shared" ca="1" si="112"/>
        <v>#N/A</v>
      </c>
      <c r="AD250" s="323" t="e">
        <f t="shared" ca="1" si="113"/>
        <v>#N/A</v>
      </c>
      <c r="AE250" s="324">
        <f t="shared" ca="1" si="92"/>
        <v>948.56455895057707</v>
      </c>
      <c r="AG250" s="306">
        <f t="shared" ca="1" si="114"/>
        <v>-15.275971760829922</v>
      </c>
      <c r="AH250" s="304">
        <f t="shared" ca="1" si="115"/>
        <v>-5.8227737892112339</v>
      </c>
    </row>
    <row r="251" spans="1:34" x14ac:dyDescent="0.2">
      <c r="A251" s="347">
        <f t="shared" ca="1" si="93"/>
        <v>0.1</v>
      </c>
      <c r="B251" s="304">
        <f t="shared" ca="1" si="94"/>
        <v>6.6999999999999931</v>
      </c>
      <c r="D251" s="306">
        <f t="shared" ca="1" si="95"/>
        <v>-1.5250068858234889</v>
      </c>
      <c r="E251" s="307">
        <f t="shared" ca="1" si="96"/>
        <v>-15.258139851660786</v>
      </c>
      <c r="F251" s="304">
        <f t="shared" ca="1" si="97"/>
        <v>15.334160483529839</v>
      </c>
      <c r="G251" s="306">
        <f t="shared" ca="1" si="98"/>
        <v>29.342985606555374</v>
      </c>
      <c r="H251" s="307">
        <f t="shared" ca="1" si="99"/>
        <v>103.84783109308574</v>
      </c>
      <c r="I251" s="304">
        <f t="shared" ca="1" si="100"/>
        <v>107.91377496429537</v>
      </c>
      <c r="J251" s="306">
        <f t="shared" ca="1" si="101"/>
        <v>213.69603940025385</v>
      </c>
      <c r="K251" s="307">
        <f t="shared" ca="1" si="102"/>
        <v>959.02563275914395</v>
      </c>
      <c r="L251" s="304">
        <f t="shared" ca="1" si="87"/>
        <v>982.54575544573561</v>
      </c>
      <c r="M251" s="306">
        <f t="shared" ca="1" si="103"/>
        <v>1.2954176144431249</v>
      </c>
      <c r="N251" s="304">
        <f t="shared" ca="1" si="104"/>
        <v>74.22196201449637</v>
      </c>
      <c r="P251" s="310">
        <f t="shared" ca="1" si="105"/>
        <v>23</v>
      </c>
      <c r="Q251" s="304">
        <f t="shared" ca="1" si="106"/>
        <v>0</v>
      </c>
      <c r="R251" s="306">
        <f t="shared" ca="1" si="107"/>
        <v>0</v>
      </c>
      <c r="S251" s="307">
        <f t="shared" ca="1" si="108"/>
        <v>7.4799999999999969</v>
      </c>
      <c r="T251" s="304">
        <f t="shared" ca="1" si="88"/>
        <v>73.37879999999997</v>
      </c>
      <c r="U251" s="311">
        <f t="shared" ca="1" si="89"/>
        <v>0</v>
      </c>
      <c r="V251" s="306">
        <f t="shared" ca="1" si="90"/>
        <v>1.1128949412329818</v>
      </c>
      <c r="W251" s="304">
        <f t="shared" ca="1" si="91"/>
        <v>41.115359113954021</v>
      </c>
      <c r="Y251" s="314" t="str">
        <f t="shared" ca="1" si="109"/>
        <v/>
      </c>
      <c r="Z251" s="315" t="str">
        <f t="shared" ca="1" si="110"/>
        <v/>
      </c>
      <c r="AA251" s="316" t="str">
        <f t="shared" ca="1" si="111"/>
        <v/>
      </c>
      <c r="AC251" s="310" t="e">
        <f t="shared" ca="1" si="112"/>
        <v>#N/A</v>
      </c>
      <c r="AD251" s="323" t="e">
        <f t="shared" ca="1" si="113"/>
        <v>#N/A</v>
      </c>
      <c r="AE251" s="324">
        <f t="shared" ca="1" si="92"/>
        <v>959.02563275914395</v>
      </c>
      <c r="AG251" s="306">
        <f t="shared" ca="1" si="114"/>
        <v>-15.104439789349108</v>
      </c>
      <c r="AH251" s="304">
        <f t="shared" ca="1" si="115"/>
        <v>-5.6575501628411109</v>
      </c>
    </row>
    <row r="252" spans="1:34" x14ac:dyDescent="0.2">
      <c r="A252" s="347">
        <f t="shared" ca="1" si="93"/>
        <v>0.1</v>
      </c>
      <c r="B252" s="304">
        <f t="shared" ca="1" si="94"/>
        <v>6.7999999999999927</v>
      </c>
      <c r="D252" s="306">
        <f t="shared" ca="1" si="95"/>
        <v>-1.4946169584641251</v>
      </c>
      <c r="E252" s="307">
        <f t="shared" ca="1" si="96"/>
        <v>-15.099602480559057</v>
      </c>
      <c r="F252" s="304">
        <f t="shared" ca="1" si="97"/>
        <v>15.173393652160803</v>
      </c>
      <c r="G252" s="306">
        <f t="shared" ca="1" si="98"/>
        <v>29.193523910708961</v>
      </c>
      <c r="H252" s="307">
        <f t="shared" ca="1" si="99"/>
        <v>102.33787084502984</v>
      </c>
      <c r="I252" s="304">
        <f t="shared" ca="1" si="100"/>
        <v>106.4204005227341</v>
      </c>
      <c r="J252" s="306">
        <f t="shared" ca="1" si="101"/>
        <v>216.62286487611706</v>
      </c>
      <c r="K252" s="307">
        <f t="shared" ca="1" si="102"/>
        <v>969.33491785604974</v>
      </c>
      <c r="L252" s="304">
        <f t="shared" ca="1" si="87"/>
        <v>993.2450093316005</v>
      </c>
      <c r="M252" s="306">
        <f t="shared" ca="1" si="103"/>
        <v>1.2929110897430662</v>
      </c>
      <c r="N252" s="304">
        <f t="shared" ca="1" si="104"/>
        <v>74.078348727937708</v>
      </c>
      <c r="P252" s="310">
        <f t="shared" ca="1" si="105"/>
        <v>23</v>
      </c>
      <c r="Q252" s="304">
        <f t="shared" ca="1" si="106"/>
        <v>0</v>
      </c>
      <c r="R252" s="306">
        <f t="shared" ca="1" si="107"/>
        <v>0</v>
      </c>
      <c r="S252" s="307">
        <f t="shared" ca="1" si="108"/>
        <v>7.4799999999999969</v>
      </c>
      <c r="T252" s="304">
        <f t="shared" ca="1" si="88"/>
        <v>73.37879999999997</v>
      </c>
      <c r="U252" s="311">
        <f t="shared" ca="1" si="89"/>
        <v>0</v>
      </c>
      <c r="V252" s="306">
        <f t="shared" ca="1" si="90"/>
        <v>1.1117455473408915</v>
      </c>
      <c r="W252" s="304">
        <f t="shared" ca="1" si="91"/>
        <v>39.943979165699922</v>
      </c>
      <c r="Y252" s="314" t="str">
        <f t="shared" ca="1" si="109"/>
        <v/>
      </c>
      <c r="Z252" s="315" t="str">
        <f t="shared" ca="1" si="110"/>
        <v/>
      </c>
      <c r="AA252" s="316" t="str">
        <f t="shared" ca="1" si="111"/>
        <v/>
      </c>
      <c r="AC252" s="310" t="e">
        <f t="shared" ca="1" si="112"/>
        <v>#N/A</v>
      </c>
      <c r="AD252" s="323" t="e">
        <f t="shared" ca="1" si="113"/>
        <v>#N/A</v>
      </c>
      <c r="AE252" s="324">
        <f t="shared" ca="1" si="92"/>
        <v>969.33491785604974</v>
      </c>
      <c r="AG252" s="306">
        <f t="shared" ca="1" si="114"/>
        <v>-14.937087433061119</v>
      </c>
      <c r="AH252" s="304">
        <f t="shared" ca="1" si="115"/>
        <v>-5.4967057638975989</v>
      </c>
    </row>
    <row r="253" spans="1:34" x14ac:dyDescent="0.2">
      <c r="A253" s="347">
        <f t="shared" ca="1" si="93"/>
        <v>0.1</v>
      </c>
      <c r="B253" s="304">
        <f t="shared" ca="1" si="94"/>
        <v>6.8999999999999924</v>
      </c>
      <c r="D253" s="306">
        <f t="shared" ca="1" si="95"/>
        <v>-1.4649114070772871</v>
      </c>
      <c r="E253" s="307">
        <f t="shared" ca="1" si="96"/>
        <v>-14.945245571429394</v>
      </c>
      <c r="F253" s="304">
        <f t="shared" ca="1" si="97"/>
        <v>15.016868202821621</v>
      </c>
      <c r="G253" s="306">
        <f t="shared" ca="1" si="98"/>
        <v>29.047032770001234</v>
      </c>
      <c r="H253" s="307">
        <f t="shared" ca="1" si="99"/>
        <v>100.8433462878869</v>
      </c>
      <c r="I253" s="304">
        <f t="shared" ca="1" si="100"/>
        <v>104.94336855314012</v>
      </c>
      <c r="J253" s="306">
        <f t="shared" ca="1" si="101"/>
        <v>219.53489271015258</v>
      </c>
      <c r="K253" s="307">
        <f t="shared" ca="1" si="102"/>
        <v>979.49397871269559</v>
      </c>
      <c r="L253" s="304">
        <f t="shared" ca="1" si="87"/>
        <v>1003.7948114289517</v>
      </c>
      <c r="M253" s="306">
        <f t="shared" ca="1" si="103"/>
        <v>1.2903467467416143</v>
      </c>
      <c r="N253" s="304">
        <f t="shared" ca="1" si="104"/>
        <v>73.931422696730607</v>
      </c>
      <c r="P253" s="310">
        <f t="shared" ca="1" si="105"/>
        <v>23</v>
      </c>
      <c r="Q253" s="304">
        <f t="shared" ca="1" si="106"/>
        <v>0</v>
      </c>
      <c r="R253" s="306">
        <f t="shared" ca="1" si="107"/>
        <v>0</v>
      </c>
      <c r="S253" s="307">
        <f t="shared" ca="1" si="108"/>
        <v>7.4799999999999969</v>
      </c>
      <c r="T253" s="304">
        <f t="shared" ca="1" si="88"/>
        <v>73.37879999999997</v>
      </c>
      <c r="U253" s="311">
        <f t="shared" ca="1" si="89"/>
        <v>0</v>
      </c>
      <c r="V253" s="306">
        <f t="shared" ca="1" si="90"/>
        <v>1.1106140071690445</v>
      </c>
      <c r="W253" s="304">
        <f t="shared" ca="1" si="91"/>
        <v>38.803356780899733</v>
      </c>
      <c r="Y253" s="314" t="str">
        <f t="shared" ca="1" si="109"/>
        <v/>
      </c>
      <c r="Z253" s="315" t="str">
        <f t="shared" ca="1" si="110"/>
        <v/>
      </c>
      <c r="AA253" s="316" t="str">
        <f t="shared" ca="1" si="111"/>
        <v/>
      </c>
      <c r="AC253" s="310" t="e">
        <f t="shared" ca="1" si="112"/>
        <v>#N/A</v>
      </c>
      <c r="AD253" s="323" t="e">
        <f t="shared" ca="1" si="113"/>
        <v>#N/A</v>
      </c>
      <c r="AE253" s="324">
        <f t="shared" ca="1" si="92"/>
        <v>979.49397871269559</v>
      </c>
      <c r="AG253" s="306">
        <f t="shared" ca="1" si="114"/>
        <v>-14.773770155938365</v>
      </c>
      <c r="AH253" s="304">
        <f t="shared" ca="1" si="115"/>
        <v>-5.3401041665374249</v>
      </c>
    </row>
    <row r="254" spans="1:34" x14ac:dyDescent="0.2">
      <c r="A254" s="347">
        <f t="shared" ca="1" si="93"/>
        <v>0.1</v>
      </c>
      <c r="B254" s="304">
        <f t="shared" ca="1" si="94"/>
        <v>6.999999999999992</v>
      </c>
      <c r="D254" s="306">
        <f t="shared" ca="1" si="95"/>
        <v>-1.4358678561902576</v>
      </c>
      <c r="E254" s="307">
        <f t="shared" ca="1" si="96"/>
        <v>-14.794940134573125</v>
      </c>
      <c r="F254" s="304">
        <f t="shared" ca="1" si="97"/>
        <v>14.864453238718303</v>
      </c>
      <c r="G254" s="306">
        <f t="shared" ca="1" si="98"/>
        <v>28.903445984382209</v>
      </c>
      <c r="H254" s="307">
        <f t="shared" ca="1" si="99"/>
        <v>99.36385227442959</v>
      </c>
      <c r="I254" s="304">
        <f t="shared" ca="1" si="100"/>
        <v>103.48228992724681</v>
      </c>
      <c r="J254" s="306">
        <f t="shared" ca="1" si="101"/>
        <v>222.43241664787175</v>
      </c>
      <c r="K254" s="307">
        <f t="shared" ca="1" si="102"/>
        <v>989.5043386408114</v>
      </c>
      <c r="L254" s="304">
        <f t="shared" ca="1" si="87"/>
        <v>1014.1967344479087</v>
      </c>
      <c r="M254" s="306">
        <f t="shared" ca="1" si="103"/>
        <v>1.2877228287978169</v>
      </c>
      <c r="N254" s="304">
        <f t="shared" ca="1" si="104"/>
        <v>73.781083272762373</v>
      </c>
      <c r="P254" s="310">
        <f t="shared" ca="1" si="105"/>
        <v>23</v>
      </c>
      <c r="Q254" s="304">
        <f t="shared" ca="1" si="106"/>
        <v>0</v>
      </c>
      <c r="R254" s="306">
        <f t="shared" ca="1" si="107"/>
        <v>0</v>
      </c>
      <c r="S254" s="307">
        <f t="shared" ca="1" si="108"/>
        <v>7.4799999999999969</v>
      </c>
      <c r="T254" s="304">
        <f t="shared" ca="1" si="88"/>
        <v>73.37879999999997</v>
      </c>
      <c r="U254" s="311">
        <f t="shared" ca="1" si="89"/>
        <v>0</v>
      </c>
      <c r="V254" s="306">
        <f t="shared" ca="1" si="90"/>
        <v>1.1095001010716115</v>
      </c>
      <c r="W254" s="304">
        <f t="shared" ca="1" si="91"/>
        <v>37.6925532250944</v>
      </c>
      <c r="Y254" s="314" t="str">
        <f t="shared" ca="1" si="109"/>
        <v/>
      </c>
      <c r="Z254" s="315" t="str">
        <f t="shared" ca="1" si="110"/>
        <v/>
      </c>
      <c r="AA254" s="316" t="str">
        <f t="shared" ca="1" si="111"/>
        <v/>
      </c>
      <c r="AC254" s="310">
        <f t="shared" ca="1" si="112"/>
        <v>6.999999999999992</v>
      </c>
      <c r="AD254" s="323">
        <f t="shared" ca="1" si="113"/>
        <v>222.43241664787175</v>
      </c>
      <c r="AE254" s="324">
        <f t="shared" ca="1" si="92"/>
        <v>989.5043386408114</v>
      </c>
      <c r="AG254" s="306">
        <f t="shared" ca="1" si="114"/>
        <v>-14.614348606456778</v>
      </c>
      <c r="AH254" s="304">
        <f t="shared" ca="1" si="115"/>
        <v>-5.1876145429010361</v>
      </c>
    </row>
    <row r="255" spans="1:34" x14ac:dyDescent="0.2">
      <c r="A255" s="347">
        <f t="shared" ca="1" si="93"/>
        <v>0.1</v>
      </c>
      <c r="B255" s="304">
        <f t="shared" ca="1" si="94"/>
        <v>7.0999999999999917</v>
      </c>
      <c r="D255" s="306">
        <f t="shared" ca="1" si="95"/>
        <v>-1.4074648336477134</v>
      </c>
      <c r="E255" s="307">
        <f t="shared" ca="1" si="96"/>
        <v>-14.648562429116364</v>
      </c>
      <c r="F255" s="304">
        <f t="shared" ca="1" si="97"/>
        <v>14.716023188948654</v>
      </c>
      <c r="G255" s="306">
        <f t="shared" ca="1" si="98"/>
        <v>28.762699501017437</v>
      </c>
      <c r="H255" s="307">
        <f t="shared" ca="1" si="99"/>
        <v>97.898996031517953</v>
      </c>
      <c r="I255" s="304">
        <f t="shared" ca="1" si="100"/>
        <v>102.03678898595838</v>
      </c>
      <c r="J255" s="306">
        <f t="shared" ca="1" si="101"/>
        <v>225.31572392214173</v>
      </c>
      <c r="K255" s="307">
        <f t="shared" ca="1" si="102"/>
        <v>999.36748105610877</v>
      </c>
      <c r="L255" s="304">
        <f t="shared" ca="1" si="87"/>
        <v>1024.4523110613743</v>
      </c>
      <c r="M255" s="306">
        <f t="shared" ca="1" si="103"/>
        <v>1.2850375069844642</v>
      </c>
      <c r="N255" s="304">
        <f t="shared" ca="1" si="104"/>
        <v>73.627225666222841</v>
      </c>
      <c r="P255" s="310">
        <f t="shared" ca="1" si="105"/>
        <v>23</v>
      </c>
      <c r="Q255" s="304">
        <f t="shared" ca="1" si="106"/>
        <v>0</v>
      </c>
      <c r="R255" s="306">
        <f t="shared" ca="1" si="107"/>
        <v>0</v>
      </c>
      <c r="S255" s="307">
        <f t="shared" ca="1" si="108"/>
        <v>7.4799999999999969</v>
      </c>
      <c r="T255" s="304">
        <f t="shared" ca="1" si="88"/>
        <v>73.37879999999997</v>
      </c>
      <c r="U255" s="311">
        <f t="shared" ca="1" si="89"/>
        <v>0</v>
      </c>
      <c r="V255" s="306">
        <f t="shared" ca="1" si="90"/>
        <v>1.1084036153328782</v>
      </c>
      <c r="W255" s="304">
        <f t="shared" ca="1" si="91"/>
        <v>36.610667720342008</v>
      </c>
      <c r="Y255" s="314" t="str">
        <f t="shared" ca="1" si="109"/>
        <v/>
      </c>
      <c r="Z255" s="315" t="str">
        <f t="shared" ca="1" si="110"/>
        <v/>
      </c>
      <c r="AA255" s="316" t="str">
        <f t="shared" ca="1" si="111"/>
        <v/>
      </c>
      <c r="AC255" s="310" t="e">
        <f t="shared" ca="1" si="112"/>
        <v>#N/A</v>
      </c>
      <c r="AD255" s="323" t="e">
        <f t="shared" ca="1" si="113"/>
        <v>#N/A</v>
      </c>
      <c r="AE255" s="324">
        <f t="shared" ca="1" si="92"/>
        <v>999.36748105610877</v>
      </c>
      <c r="AG255" s="306">
        <f t="shared" ca="1" si="114"/>
        <v>-14.458688323244949</v>
      </c>
      <c r="AH255" s="304">
        <f t="shared" ca="1" si="115"/>
        <v>-5.0391113937291996</v>
      </c>
    </row>
    <row r="256" spans="1:34" x14ac:dyDescent="0.2">
      <c r="A256" s="347">
        <f t="shared" ca="1" si="93"/>
        <v>0.1</v>
      </c>
      <c r="B256" s="304">
        <f t="shared" ca="1" si="94"/>
        <v>7.1999999999999913</v>
      </c>
      <c r="D256" s="306">
        <f t="shared" ca="1" si="95"/>
        <v>-1.3796817279094153</v>
      </c>
      <c r="E256" s="307">
        <f t="shared" ca="1" si="96"/>
        <v>-14.505993712293376</v>
      </c>
      <c r="F256" s="304">
        <f t="shared" ca="1" si="97"/>
        <v>14.571457554116611</v>
      </c>
      <c r="G256" s="306">
        <f t="shared" ca="1" si="98"/>
        <v>28.624731328226495</v>
      </c>
      <c r="H256" s="307">
        <f t="shared" ca="1" si="99"/>
        <v>96.448396660288608</v>
      </c>
      <c r="I256" s="304">
        <f t="shared" ca="1" si="100"/>
        <v>100.60650307983833</v>
      </c>
      <c r="J256" s="306">
        <f t="shared" ca="1" si="101"/>
        <v>228.18509546360391</v>
      </c>
      <c r="K256" s="307">
        <f t="shared" ca="1" si="102"/>
        <v>1009.0848506906991</v>
      </c>
      <c r="L256" s="304">
        <f t="shared" ca="1" si="87"/>
        <v>1034.563035143439</v>
      </c>
      <c r="M256" s="306">
        <f t="shared" ca="1" si="103"/>
        <v>1.2822888764859117</v>
      </c>
      <c r="N256" s="304">
        <f t="shared" ca="1" si="104"/>
        <v>73.469740739214856</v>
      </c>
      <c r="P256" s="310">
        <f t="shared" ca="1" si="105"/>
        <v>23</v>
      </c>
      <c r="Q256" s="304">
        <f t="shared" ca="1" si="106"/>
        <v>0</v>
      </c>
      <c r="R256" s="306">
        <f t="shared" ca="1" si="107"/>
        <v>0</v>
      </c>
      <c r="S256" s="307">
        <f t="shared" ca="1" si="108"/>
        <v>7.4799999999999969</v>
      </c>
      <c r="T256" s="304">
        <f t="shared" ca="1" si="88"/>
        <v>73.37879999999997</v>
      </c>
      <c r="U256" s="311">
        <f t="shared" ca="1" si="89"/>
        <v>0</v>
      </c>
      <c r="V256" s="306">
        <f t="shared" ca="1" si="90"/>
        <v>1.1073243419805157</v>
      </c>
      <c r="W256" s="304">
        <f t="shared" ca="1" si="91"/>
        <v>35.556835650122494</v>
      </c>
      <c r="Y256" s="314" t="str">
        <f t="shared" ca="1" si="109"/>
        <v/>
      </c>
      <c r="Z256" s="315" t="str">
        <f t="shared" ca="1" si="110"/>
        <v/>
      </c>
      <c r="AA256" s="316" t="str">
        <f t="shared" ca="1" si="111"/>
        <v/>
      </c>
      <c r="AC256" s="310" t="e">
        <f t="shared" ca="1" si="112"/>
        <v>#N/A</v>
      </c>
      <c r="AD256" s="323" t="e">
        <f t="shared" ca="1" si="113"/>
        <v>#N/A</v>
      </c>
      <c r="AE256" s="324">
        <f t="shared" ca="1" si="92"/>
        <v>1009.0848506906991</v>
      </c>
      <c r="AG256" s="306">
        <f t="shared" ca="1" si="114"/>
        <v>-14.306659454178094</v>
      </c>
      <c r="AH256" s="304">
        <f t="shared" ca="1" si="115"/>
        <v>-4.8944742941633717</v>
      </c>
    </row>
    <row r="257" spans="1:34" x14ac:dyDescent="0.2">
      <c r="A257" s="347">
        <f t="shared" ca="1" si="93"/>
        <v>0.1</v>
      </c>
      <c r="B257" s="304">
        <f t="shared" ca="1" si="94"/>
        <v>7.2999999999999909</v>
      </c>
      <c r="D257" s="306">
        <f t="shared" ca="1" si="95"/>
        <v>-1.3524987477803954</v>
      </c>
      <c r="E257" s="307">
        <f t="shared" ca="1" si="96"/>
        <v>-14.367120002724205</v>
      </c>
      <c r="F257" s="304">
        <f t="shared" ca="1" si="97"/>
        <v>14.430640666145958</v>
      </c>
      <c r="G257" s="306">
        <f t="shared" ca="1" si="98"/>
        <v>28.489481453448455</v>
      </c>
      <c r="H257" s="307">
        <f t="shared" ca="1" si="99"/>
        <v>95.011684660016186</v>
      </c>
      <c r="I257" s="304">
        <f t="shared" ca="1" si="100"/>
        <v>99.191082136554684</v>
      </c>
      <c r="J257" s="306">
        <f t="shared" ca="1" si="101"/>
        <v>231.04080610268767</v>
      </c>
      <c r="K257" s="307">
        <f t="shared" ca="1" si="102"/>
        <v>1018.6578547567143</v>
      </c>
      <c r="L257" s="304">
        <f t="shared" ca="1" si="87"/>
        <v>1044.5303629584594</v>
      </c>
      <c r="M257" s="306">
        <f t="shared" ca="1" si="103"/>
        <v>1.2794749527849822</v>
      </c>
      <c r="N257" s="304">
        <f t="shared" ca="1" si="104"/>
        <v>73.308514787279762</v>
      </c>
      <c r="P257" s="310">
        <f t="shared" ca="1" si="105"/>
        <v>23</v>
      </c>
      <c r="Q257" s="304">
        <f t="shared" ca="1" si="106"/>
        <v>0</v>
      </c>
      <c r="R257" s="306">
        <f t="shared" ca="1" si="107"/>
        <v>0</v>
      </c>
      <c r="S257" s="307">
        <f t="shared" ca="1" si="108"/>
        <v>7.4799999999999969</v>
      </c>
      <c r="T257" s="304">
        <f t="shared" ca="1" si="88"/>
        <v>73.37879999999997</v>
      </c>
      <c r="U257" s="311">
        <f t="shared" ca="1" si="89"/>
        <v>0</v>
      </c>
      <c r="V257" s="306">
        <f t="shared" ca="1" si="90"/>
        <v>1.1062620786065487</v>
      </c>
      <c r="W257" s="304">
        <f t="shared" ca="1" si="91"/>
        <v>34.530226863823088</v>
      </c>
      <c r="Y257" s="314" t="str">
        <f t="shared" ca="1" si="109"/>
        <v/>
      </c>
      <c r="Z257" s="315" t="str">
        <f t="shared" ca="1" si="110"/>
        <v/>
      </c>
      <c r="AA257" s="316" t="str">
        <f t="shared" ca="1" si="111"/>
        <v/>
      </c>
      <c r="AC257" s="310" t="e">
        <f t="shared" ca="1" si="112"/>
        <v>#N/A</v>
      </c>
      <c r="AD257" s="323" t="e">
        <f t="shared" ca="1" si="113"/>
        <v>#N/A</v>
      </c>
      <c r="AE257" s="324">
        <f t="shared" ca="1" si="92"/>
        <v>1018.6578547567143</v>
      </c>
      <c r="AG257" s="306">
        <f t="shared" ca="1" si="114"/>
        <v>-14.158136487810587</v>
      </c>
      <c r="AH257" s="304">
        <f t="shared" ca="1" si="115"/>
        <v>-4.7535876537596939</v>
      </c>
    </row>
    <row r="258" spans="1:34" x14ac:dyDescent="0.2">
      <c r="A258" s="347">
        <f t="shared" ca="1" si="93"/>
        <v>0.1</v>
      </c>
      <c r="B258" s="304">
        <f t="shared" ca="1" si="94"/>
        <v>7.3999999999999906</v>
      </c>
      <c r="D258" s="306">
        <f t="shared" ca="1" si="95"/>
        <v>-1.3258968844231018</v>
      </c>
      <c r="E258" s="307">
        <f t="shared" ca="1" si="96"/>
        <v>-14.231831856797704</v>
      </c>
      <c r="F258" s="304">
        <f t="shared" ca="1" si="97"/>
        <v>14.29346146139153</v>
      </c>
      <c r="G258" s="306">
        <f t="shared" ca="1" si="98"/>
        <v>28.356891765006146</v>
      </c>
      <c r="H258" s="307">
        <f t="shared" ca="1" si="99"/>
        <v>93.588501474336411</v>
      </c>
      <c r="I258" s="304">
        <f t="shared" ca="1" si="100"/>
        <v>97.790188254160455</v>
      </c>
      <c r="J258" s="306">
        <f t="shared" ca="1" si="101"/>
        <v>233.8831247636104</v>
      </c>
      <c r="K258" s="307">
        <f t="shared" ca="1" si="102"/>
        <v>1028.0878640634319</v>
      </c>
      <c r="L258" s="304">
        <f t="shared" ca="1" si="87"/>
        <v>1054.3557143031474</v>
      </c>
      <c r="M258" s="306">
        <f t="shared" ca="1" si="103"/>
        <v>1.2765936676250529</v>
      </c>
      <c r="N258" s="304">
        <f t="shared" ca="1" si="104"/>
        <v>73.14342930804213</v>
      </c>
      <c r="P258" s="310">
        <f t="shared" ca="1" si="105"/>
        <v>23</v>
      </c>
      <c r="Q258" s="304">
        <f t="shared" ca="1" si="106"/>
        <v>0</v>
      </c>
      <c r="R258" s="306">
        <f t="shared" ca="1" si="107"/>
        <v>0</v>
      </c>
      <c r="S258" s="307">
        <f t="shared" ca="1" si="108"/>
        <v>7.4799999999999969</v>
      </c>
      <c r="T258" s="304">
        <f t="shared" ca="1" si="88"/>
        <v>73.37879999999997</v>
      </c>
      <c r="U258" s="311">
        <f t="shared" ca="1" si="89"/>
        <v>0</v>
      </c>
      <c r="V258" s="306">
        <f t="shared" ca="1" si="90"/>
        <v>1.1052166281956615</v>
      </c>
      <c r="W258" s="304">
        <f t="shared" ca="1" si="91"/>
        <v>33.530044074545081</v>
      </c>
      <c r="Y258" s="314" t="str">
        <f t="shared" ca="1" si="109"/>
        <v/>
      </c>
      <c r="Z258" s="315" t="str">
        <f t="shared" ca="1" si="110"/>
        <v/>
      </c>
      <c r="AA258" s="316" t="str">
        <f t="shared" ca="1" si="111"/>
        <v/>
      </c>
      <c r="AC258" s="310" t="e">
        <f t="shared" ca="1" si="112"/>
        <v>#N/A</v>
      </c>
      <c r="AD258" s="323" t="e">
        <f t="shared" ca="1" si="113"/>
        <v>#N/A</v>
      </c>
      <c r="AE258" s="324">
        <f t="shared" ca="1" si="92"/>
        <v>1028.0878640634319</v>
      </c>
      <c r="AG258" s="306">
        <f t="shared" ca="1" si="114"/>
        <v>-14.012997996098608</v>
      </c>
      <c r="AH258" s="304">
        <f t="shared" ca="1" si="115"/>
        <v>-4.616340489815923</v>
      </c>
    </row>
    <row r="259" spans="1:34" x14ac:dyDescent="0.2">
      <c r="A259" s="347">
        <f t="shared" ca="1" si="93"/>
        <v>0.1</v>
      </c>
      <c r="B259" s="304">
        <f t="shared" ca="1" si="94"/>
        <v>7.4999999999999902</v>
      </c>
      <c r="D259" s="306">
        <f t="shared" ca="1" si="95"/>
        <v>-1.2998578755119643</v>
      </c>
      <c r="E259" s="307">
        <f t="shared" ca="1" si="96"/>
        <v>-14.100024157333905</v>
      </c>
      <c r="F259" s="304">
        <f t="shared" ca="1" si="97"/>
        <v>14.159813266209769</v>
      </c>
      <c r="G259" s="306">
        <f t="shared" ca="1" si="98"/>
        <v>28.226905977454951</v>
      </c>
      <c r="H259" s="307">
        <f t="shared" ca="1" si="99"/>
        <v>92.178499058603023</v>
      </c>
      <c r="I259" s="304">
        <f t="shared" ca="1" si="100"/>
        <v>96.403495319189332</v>
      </c>
      <c r="J259" s="306">
        <f t="shared" ca="1" si="101"/>
        <v>236.71231465073345</v>
      </c>
      <c r="K259" s="307">
        <f t="shared" ca="1" si="102"/>
        <v>1037.3762140900787</v>
      </c>
      <c r="L259" s="304">
        <f t="shared" ca="1" si="87"/>
        <v>1064.0404736038815</v>
      </c>
      <c r="M259" s="306">
        <f t="shared" ca="1" si="103"/>
        <v>1.2736428647324505</v>
      </c>
      <c r="N259" s="304">
        <f t="shared" ca="1" si="104"/>
        <v>72.974360756121015</v>
      </c>
      <c r="P259" s="310">
        <f t="shared" ca="1" si="105"/>
        <v>23</v>
      </c>
      <c r="Q259" s="304">
        <f t="shared" ca="1" si="106"/>
        <v>0</v>
      </c>
      <c r="R259" s="306">
        <f t="shared" ca="1" si="107"/>
        <v>0</v>
      </c>
      <c r="S259" s="307">
        <f t="shared" ca="1" si="108"/>
        <v>7.4799999999999969</v>
      </c>
      <c r="T259" s="304">
        <f t="shared" ca="1" si="88"/>
        <v>73.37879999999997</v>
      </c>
      <c r="U259" s="311">
        <f t="shared" ca="1" si="89"/>
        <v>0</v>
      </c>
      <c r="V259" s="306">
        <f t="shared" ca="1" si="90"/>
        <v>1.1041877989604787</v>
      </c>
      <c r="W259" s="304">
        <f t="shared" ca="1" si="91"/>
        <v>32.555521344413883</v>
      </c>
      <c r="Y259" s="314" t="str">
        <f t="shared" ca="1" si="109"/>
        <v/>
      </c>
      <c r="Z259" s="315" t="str">
        <f t="shared" ca="1" si="110"/>
        <v/>
      </c>
      <c r="AA259" s="316" t="str">
        <f t="shared" ca="1" si="111"/>
        <v/>
      </c>
      <c r="AC259" s="310" t="e">
        <f t="shared" ca="1" si="112"/>
        <v>#N/A</v>
      </c>
      <c r="AD259" s="323" t="e">
        <f t="shared" ca="1" si="113"/>
        <v>#N/A</v>
      </c>
      <c r="AE259" s="324">
        <f t="shared" ca="1" si="92"/>
        <v>1037.3762140900787</v>
      </c>
      <c r="AG259" s="306">
        <f t="shared" ca="1" si="114"/>
        <v>-13.871126387415423</v>
      </c>
      <c r="AH259" s="304">
        <f t="shared" ca="1" si="115"/>
        <v>-4.4826262131744778</v>
      </c>
    </row>
    <row r="260" spans="1:34" x14ac:dyDescent="0.2">
      <c r="A260" s="347">
        <f t="shared" ca="1" si="93"/>
        <v>0.1</v>
      </c>
      <c r="B260" s="304">
        <f t="shared" ca="1" si="94"/>
        <v>7.5999999999999899</v>
      </c>
      <c r="D260" s="306">
        <f t="shared" ca="1" si="95"/>
        <v>-1.2743641714009428</v>
      </c>
      <c r="E260" s="307">
        <f t="shared" ca="1" si="96"/>
        <v>-13.971595913757699</v>
      </c>
      <c r="F260" s="304">
        <f t="shared" ca="1" si="97"/>
        <v>14.029593594209393</v>
      </c>
      <c r="G260" s="306">
        <f t="shared" ca="1" si="98"/>
        <v>28.099469560314859</v>
      </c>
      <c r="H260" s="307">
        <f t="shared" ca="1" si="99"/>
        <v>90.781339467227255</v>
      </c>
      <c r="I260" s="304">
        <f t="shared" ca="1" si="100"/>
        <v>95.030688648641359</v>
      </c>
      <c r="J260" s="306">
        <f t="shared" ca="1" si="101"/>
        <v>239.52863342762194</v>
      </c>
      <c r="K260" s="307">
        <f t="shared" ca="1" si="102"/>
        <v>1046.5242060163703</v>
      </c>
      <c r="L260" s="304">
        <f t="shared" ref="L260:L323" ca="1" si="116">SQRT(pos_x^2+pos_z^2)</f>
        <v>1073.5859909713326</v>
      </c>
      <c r="M260" s="306">
        <f t="shared" ca="1" si="103"/>
        <v>1.2706202952831913</v>
      </c>
      <c r="N260" s="304">
        <f t="shared" ca="1" si="104"/>
        <v>72.801180283393279</v>
      </c>
      <c r="P260" s="310">
        <f t="shared" ca="1" si="105"/>
        <v>23</v>
      </c>
      <c r="Q260" s="304">
        <f t="shared" ca="1" si="106"/>
        <v>0</v>
      </c>
      <c r="R260" s="306">
        <f t="shared" ca="1" si="107"/>
        <v>0</v>
      </c>
      <c r="S260" s="307">
        <f t="shared" ca="1" si="108"/>
        <v>7.4799999999999969</v>
      </c>
      <c r="T260" s="304">
        <f t="shared" ref="T260:T323" ca="1" si="117">m*g</f>
        <v>73.37879999999997</v>
      </c>
      <c r="U260" s="311">
        <f t="shared" ref="U260:U323" ca="1" si="118">IF(pos_xz&lt;L_rampe,Poids*COS(Beta),0)</f>
        <v>0</v>
      </c>
      <c r="V260" s="306">
        <f t="shared" ref="V260:V323" ca="1" si="119">Rho_moyen*(20000-Alt_rampe-pos_z)/(20000+Alt_rampe+pos_z)</f>
        <v>1.1031754041835011</v>
      </c>
      <c r="W260" s="304">
        <f t="shared" ref="W260:W323" ca="1" si="120">1/2*Rho*Sref*Cx*vit_xz^2</f>
        <v>31.605922651980233</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1046.5242060163703</v>
      </c>
      <c r="AG260" s="306">
        <f t="shared" ca="1" si="114"/>
        <v>-13.732407668906916</v>
      </c>
      <c r="AH260" s="304">
        <f t="shared" ca="1" si="115"/>
        <v>-4.3523424257237826</v>
      </c>
    </row>
    <row r="261" spans="1:34" x14ac:dyDescent="0.2">
      <c r="A261" s="347">
        <f t="shared" ref="A261:A324" ca="1" si="122">IF(B260+0.01&lt;=T_ini+ROUNDUP(Temps_fin_propu,0), 0.01, IF(K260&gt;0, 0.1, 0.0001))</f>
        <v>0.1</v>
      </c>
      <c r="B261" s="304">
        <f t="shared" ref="B261:B324" ca="1" si="123">B260+pas</f>
        <v>7.6999999999999895</v>
      </c>
      <c r="D261" s="306">
        <f t="shared" ref="D261:D324" ca="1" si="124">IF(AND(L260&lt;L_rampe,Poussee&lt;Poids*SIN(M260)),0,(-W260+Poussee)/m*COS(M260)-U260/m*SIN(M260))</f>
        <v>-1.2493989031840962</v>
      </c>
      <c r="E261" s="307">
        <f t="shared" ref="E261:E324" ca="1" si="125">IF(AND(L260&lt;L_rampe,Poussee&lt;Poids*SIN(M260)),0,(-W260+Poussee)/m*SIN(M260)+U260/m*COS(M260)-Poids/m)</f>
        <v>-13.846450073069134</v>
      </c>
      <c r="F261" s="304">
        <f t="shared" ref="F261:F324" ca="1" si="126">SQRT(acc_x^2+acc_z^2)</f>
        <v>13.902703954456983</v>
      </c>
      <c r="G261" s="306">
        <f t="shared" ref="G261:G324" ca="1" si="127">G260+acc_x*pas</f>
        <v>27.97452966999645</v>
      </c>
      <c r="H261" s="307">
        <f t="shared" ref="H261:H324" ca="1" si="128">H260+acc_z*pas</f>
        <v>89.39669445992034</v>
      </c>
      <c r="I261" s="304">
        <f t="shared" ref="I261:I324" ca="1" si="129">SQRT(vit_x^2+vit_z^2)</f>
        <v>93.671464655026426</v>
      </c>
      <c r="J261" s="306">
        <f t="shared" ref="J261:J324" ca="1" si="130">J260+0.5*(vit_x+G260)*pas*(K260&gt;=0)</f>
        <v>242.33233338913752</v>
      </c>
      <c r="K261" s="307">
        <f t="shared" ref="K261:K324" ca="1" si="131">K260+0.5*(vit_z+H260)*pas</f>
        <v>1055.5331077127275</v>
      </c>
      <c r="L261" s="304">
        <f t="shared" ca="1" si="116"/>
        <v>1082.9935832143756</v>
      </c>
      <c r="M261" s="306">
        <f t="shared" ref="M261:M324" ca="1" si="132">IF(AND(L260&gt;L_rampe,G261&gt;0),ATAN2(G261,H261),$M$4)</f>
        <v>1.267523613096976</v>
      </c>
      <c r="N261" s="304">
        <f t="shared" ref="N261:N324" ca="1" si="133">DEGREES(Beta)</f>
        <v>72.623753463629811</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7.4799999999999969</v>
      </c>
      <c r="T261" s="304">
        <f t="shared" ca="1" si="117"/>
        <v>73.37879999999997</v>
      </c>
      <c r="U261" s="311">
        <f t="shared" ca="1" si="118"/>
        <v>0</v>
      </c>
      <c r="V261" s="306">
        <f t="shared" ca="1" si="119"/>
        <v>1.1021792620653763</v>
      </c>
      <c r="W261" s="304">
        <f t="shared" ca="1" si="120"/>
        <v>30.680540536675878</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1055.5331077127275</v>
      </c>
      <c r="AG261" s="306">
        <f t="shared" ref="AG261:AG324" ca="1" si="143">IF(AND(L260&lt;L_rampe,Poussee&lt;Poids*SIN(M260)),0,(-W260+Poussee)/m-Poids*SIN(M260)/m)</f>
        <v>-13.596731217273863</v>
      </c>
      <c r="AH261" s="304">
        <f t="shared" ref="AH261:AH324" ca="1" si="144">IF(AND(L260&lt;L_rampe,Poussee&lt;Poids*SIN(M260)), g*SIN(M260), (-W260+Poussee)/m)</f>
        <v>-4.2253907288743644</v>
      </c>
    </row>
    <row r="262" spans="1:34" x14ac:dyDescent="0.2">
      <c r="A262" s="347">
        <f t="shared" ca="1" si="122"/>
        <v>0.1</v>
      </c>
      <c r="B262" s="304">
        <f t="shared" ca="1" si="123"/>
        <v>7.7999999999999892</v>
      </c>
      <c r="D262" s="306">
        <f t="shared" ca="1" si="124"/>
        <v>-1.2249458525378099</v>
      </c>
      <c r="E262" s="307">
        <f t="shared" ca="1" si="125"/>
        <v>-13.724493340944992</v>
      </c>
      <c r="F262" s="304">
        <f t="shared" ca="1" si="126"/>
        <v>13.779049669962477</v>
      </c>
      <c r="G262" s="306">
        <f t="shared" ca="1" si="127"/>
        <v>27.852035084742671</v>
      </c>
      <c r="H262" s="307">
        <f t="shared" ca="1" si="128"/>
        <v>88.024245125825843</v>
      </c>
      <c r="I262" s="304">
        <f t="shared" ca="1" si="129"/>
        <v>92.325530533721874</v>
      </c>
      <c r="J262" s="306">
        <f t="shared" ca="1" si="130"/>
        <v>245.12366162687448</v>
      </c>
      <c r="K262" s="307">
        <f t="shared" ca="1" si="131"/>
        <v>1064.4041546920148</v>
      </c>
      <c r="L262" s="304">
        <f t="shared" ca="1" si="116"/>
        <v>1092.264534815165</v>
      </c>
      <c r="M262" s="306">
        <f t="shared" ca="1" si="132"/>
        <v>1.2643503695400986</v>
      </c>
      <c r="N262" s="304">
        <f t="shared" ca="1" si="133"/>
        <v>72.441940000453641</v>
      </c>
      <c r="P262" s="310">
        <f t="shared" ca="1" si="134"/>
        <v>23</v>
      </c>
      <c r="Q262" s="304">
        <f t="shared" ca="1" si="135"/>
        <v>0</v>
      </c>
      <c r="R262" s="306">
        <f t="shared" ca="1" si="136"/>
        <v>0</v>
      </c>
      <c r="S262" s="307">
        <f t="shared" ca="1" si="137"/>
        <v>7.4799999999999969</v>
      </c>
      <c r="T262" s="304">
        <f t="shared" ca="1" si="117"/>
        <v>73.37879999999997</v>
      </c>
      <c r="U262" s="311">
        <f t="shared" ca="1" si="118"/>
        <v>0</v>
      </c>
      <c r="V262" s="306">
        <f t="shared" ca="1" si="119"/>
        <v>1.1011991955792131</v>
      </c>
      <c r="W262" s="304">
        <f t="shared" ca="1" si="120"/>
        <v>29.778694815633241</v>
      </c>
      <c r="Y262" s="314" t="str">
        <f t="shared" ca="1" si="138"/>
        <v/>
      </c>
      <c r="Z262" s="315" t="str">
        <f t="shared" ca="1" si="139"/>
        <v/>
      </c>
      <c r="AA262" s="316" t="str">
        <f t="shared" ca="1" si="140"/>
        <v/>
      </c>
      <c r="AC262" s="310" t="e">
        <f t="shared" ca="1" si="141"/>
        <v>#N/A</v>
      </c>
      <c r="AD262" s="323" t="e">
        <f t="shared" ca="1" si="142"/>
        <v>#N/A</v>
      </c>
      <c r="AE262" s="324">
        <f t="shared" ca="1" si="121"/>
        <v>1064.4041546920148</v>
      </c>
      <c r="AG262" s="306">
        <f t="shared" ca="1" si="143"/>
        <v>-13.463989557100977</v>
      </c>
      <c r="AH262" s="304">
        <f t="shared" ca="1" si="144"/>
        <v>-4.1016765423363486</v>
      </c>
    </row>
    <row r="263" spans="1:34" x14ac:dyDescent="0.2">
      <c r="A263" s="347">
        <f t="shared" ca="1" si="122"/>
        <v>0.1</v>
      </c>
      <c r="B263" s="304">
        <f t="shared" ca="1" si="123"/>
        <v>7.8999999999999888</v>
      </c>
      <c r="D263" s="306">
        <f t="shared" ca="1" si="124"/>
        <v>-1.2009894232414773</v>
      </c>
      <c r="E263" s="307">
        <f t="shared" ca="1" si="125"/>
        <v>-13.605636012351688</v>
      </c>
      <c r="F263" s="304">
        <f t="shared" ca="1" si="126"/>
        <v>13.658539705815517</v>
      </c>
      <c r="G263" s="306">
        <f t="shared" ca="1" si="127"/>
        <v>27.731936142418522</v>
      </c>
      <c r="H263" s="307">
        <f t="shared" ca="1" si="128"/>
        <v>86.663681524590672</v>
      </c>
      <c r="I263" s="304">
        <f t="shared" ca="1" si="129"/>
        <v>90.992603971986966</v>
      </c>
      <c r="J263" s="306">
        <f t="shared" ca="1" si="130"/>
        <v>247.90286018823255</v>
      </c>
      <c r="K263" s="307">
        <f t="shared" ca="1" si="131"/>
        <v>1073.1385510245357</v>
      </c>
      <c r="L263" s="304">
        <f t="shared" ca="1" si="116"/>
        <v>1101.4000988671403</v>
      </c>
      <c r="M263" s="306">
        <f t="shared" ca="1" si="132"/>
        <v>1.2610980081176253</v>
      </c>
      <c r="N263" s="304">
        <f t="shared" ca="1" si="133"/>
        <v>72.255593417494765</v>
      </c>
      <c r="P263" s="310">
        <f t="shared" ca="1" si="134"/>
        <v>23</v>
      </c>
      <c r="Q263" s="304">
        <f t="shared" ca="1" si="135"/>
        <v>0</v>
      </c>
      <c r="R263" s="306">
        <f t="shared" ca="1" si="136"/>
        <v>0</v>
      </c>
      <c r="S263" s="307">
        <f t="shared" ca="1" si="137"/>
        <v>7.4799999999999969</v>
      </c>
      <c r="T263" s="304">
        <f t="shared" ca="1" si="117"/>
        <v>73.37879999999997</v>
      </c>
      <c r="U263" s="311">
        <f t="shared" ca="1" si="118"/>
        <v>0</v>
      </c>
      <c r="V263" s="306">
        <f t="shared" ca="1" si="119"/>
        <v>1.1002350323306596</v>
      </c>
      <c r="W263" s="304">
        <f t="shared" ca="1" si="120"/>
        <v>28.899731368499019</v>
      </c>
      <c r="Y263" s="314" t="str">
        <f t="shared" ca="1" si="138"/>
        <v/>
      </c>
      <c r="Z263" s="315" t="str">
        <f t="shared" ca="1" si="139"/>
        <v/>
      </c>
      <c r="AA263" s="316" t="str">
        <f t="shared" ca="1" si="140"/>
        <v/>
      </c>
      <c r="AC263" s="310" t="e">
        <f t="shared" ca="1" si="141"/>
        <v>#N/A</v>
      </c>
      <c r="AD263" s="323" t="e">
        <f t="shared" ca="1" si="142"/>
        <v>#N/A</v>
      </c>
      <c r="AE263" s="324">
        <f t="shared" ca="1" si="121"/>
        <v>1073.1385510245357</v>
      </c>
      <c r="AG263" s="306">
        <f t="shared" ca="1" si="143"/>
        <v>-13.334078145880623</v>
      </c>
      <c r="AH263" s="304">
        <f t="shared" ca="1" si="144"/>
        <v>-3.9811089325712907</v>
      </c>
    </row>
    <row r="264" spans="1:34" x14ac:dyDescent="0.2">
      <c r="A264" s="347">
        <f t="shared" ca="1" si="122"/>
        <v>0.1</v>
      </c>
      <c r="B264" s="304">
        <f t="shared" ca="1" si="123"/>
        <v>7.9999999999999885</v>
      </c>
      <c r="D264" s="306">
        <f t="shared" ca="1" si="124"/>
        <v>-1.1775146142808524</v>
      </c>
      <c r="E264" s="307">
        <f t="shared" ca="1" si="125"/>
        <v>-13.489791811091607</v>
      </c>
      <c r="F264" s="304">
        <f t="shared" ca="1" si="126"/>
        <v>13.541086506386375</v>
      </c>
      <c r="G264" s="306">
        <f t="shared" ca="1" si="127"/>
        <v>27.614184680990437</v>
      </c>
      <c r="H264" s="307">
        <f t="shared" ca="1" si="128"/>
        <v>85.314702343481514</v>
      </c>
      <c r="I264" s="304">
        <f t="shared" ca="1" si="129"/>
        <v>89.672412879060502</v>
      </c>
      <c r="J264" s="306">
        <f t="shared" ca="1" si="130"/>
        <v>250.67016622940301</v>
      </c>
      <c r="K264" s="307">
        <f t="shared" ca="1" si="131"/>
        <v>1081.7374702179393</v>
      </c>
      <c r="L264" s="304">
        <f t="shared" ca="1" si="116"/>
        <v>1110.4014979776384</v>
      </c>
      <c r="M264" s="306">
        <f t="shared" ca="1" si="132"/>
        <v>1.2577638587337694</v>
      </c>
      <c r="N264" s="304">
        <f t="shared" ca="1" si="133"/>
        <v>72.064560729533667</v>
      </c>
      <c r="P264" s="310">
        <f t="shared" ca="1" si="134"/>
        <v>23</v>
      </c>
      <c r="Q264" s="304">
        <f t="shared" ca="1" si="135"/>
        <v>0</v>
      </c>
      <c r="R264" s="306">
        <f t="shared" ca="1" si="136"/>
        <v>0</v>
      </c>
      <c r="S264" s="307">
        <f t="shared" ca="1" si="137"/>
        <v>7.4799999999999969</v>
      </c>
      <c r="T264" s="304">
        <f t="shared" ca="1" si="117"/>
        <v>73.37879999999997</v>
      </c>
      <c r="U264" s="311">
        <f t="shared" ca="1" si="118"/>
        <v>0</v>
      </c>
      <c r="V264" s="306">
        <f t="shared" ca="1" si="119"/>
        <v>1.0992866044234753</v>
      </c>
      <c r="W264" s="304">
        <f t="shared" ca="1" si="120"/>
        <v>28.04302098616683</v>
      </c>
      <c r="Y264" s="314" t="str">
        <f t="shared" ca="1" si="138"/>
        <v/>
      </c>
      <c r="Z264" s="315" t="str">
        <f t="shared" ca="1" si="139"/>
        <v/>
      </c>
      <c r="AA264" s="316" t="str">
        <f t="shared" ca="1" si="140"/>
        <v/>
      </c>
      <c r="AC264" s="310">
        <f t="shared" ca="1" si="141"/>
        <v>7.9999999999999885</v>
      </c>
      <c r="AD264" s="323">
        <f t="shared" ca="1" si="142"/>
        <v>250.67016622940301</v>
      </c>
      <c r="AE264" s="324">
        <f t="shared" ca="1" si="121"/>
        <v>1081.7374702179393</v>
      </c>
      <c r="AG264" s="306">
        <f t="shared" ca="1" si="143"/>
        <v>-13.206895164901979</v>
      </c>
      <c r="AH264" s="304">
        <f t="shared" ca="1" si="144"/>
        <v>-3.8636004503340953</v>
      </c>
    </row>
    <row r="265" spans="1:34" x14ac:dyDescent="0.2">
      <c r="A265" s="347">
        <f t="shared" ca="1" si="122"/>
        <v>0.1</v>
      </c>
      <c r="B265" s="304">
        <f t="shared" ca="1" si="123"/>
        <v>8.099999999999989</v>
      </c>
      <c r="D265" s="306">
        <f t="shared" ca="1" si="124"/>
        <v>-1.1545069944452837</v>
      </c>
      <c r="E265" s="307">
        <f t="shared" ca="1" si="125"/>
        <v>-13.37687773774366</v>
      </c>
      <c r="F265" s="304">
        <f t="shared" ca="1" si="126"/>
        <v>13.426605841044305</v>
      </c>
      <c r="G265" s="306">
        <f t="shared" ca="1" si="127"/>
        <v>27.498733981545907</v>
      </c>
      <c r="H265" s="307">
        <f t="shared" ca="1" si="128"/>
        <v>83.977014569707151</v>
      </c>
      <c r="I265" s="304">
        <f t="shared" ca="1" si="129"/>
        <v>88.364695136851097</v>
      </c>
      <c r="J265" s="306">
        <f t="shared" ca="1" si="130"/>
        <v>253.42581216252984</v>
      </c>
      <c r="K265" s="307">
        <f t="shared" ca="1" si="131"/>
        <v>1090.2020560635988</v>
      </c>
      <c r="L265" s="304">
        <f t="shared" ca="1" si="116"/>
        <v>1119.2699251367098</v>
      </c>
      <c r="M265" s="306">
        <f t="shared" ca="1" si="132"/>
        <v>1.2543451315978782</v>
      </c>
      <c r="N265" s="304">
        <f t="shared" ca="1" si="133"/>
        <v>71.868682093340254</v>
      </c>
      <c r="P265" s="310">
        <f t="shared" ca="1" si="134"/>
        <v>23</v>
      </c>
      <c r="Q265" s="304">
        <f t="shared" ca="1" si="135"/>
        <v>0</v>
      </c>
      <c r="R265" s="306">
        <f t="shared" ca="1" si="136"/>
        <v>0</v>
      </c>
      <c r="S265" s="307">
        <f t="shared" ca="1" si="137"/>
        <v>7.4799999999999969</v>
      </c>
      <c r="T265" s="304">
        <f t="shared" ca="1" si="117"/>
        <v>73.37879999999997</v>
      </c>
      <c r="U265" s="311">
        <f t="shared" ca="1" si="118"/>
        <v>0</v>
      </c>
      <c r="V265" s="306">
        <f t="shared" ca="1" si="119"/>
        <v>1.0983537483303589</v>
      </c>
      <c r="W265" s="304">
        <f t="shared" ca="1" si="120"/>
        <v>27.207958279629231</v>
      </c>
      <c r="Y265" s="314" t="str">
        <f t="shared" ca="1" si="138"/>
        <v/>
      </c>
      <c r="Z265" s="315" t="str">
        <f t="shared" ca="1" si="139"/>
        <v/>
      </c>
      <c r="AA265" s="316" t="str">
        <f t="shared" ca="1" si="140"/>
        <v/>
      </c>
      <c r="AC265" s="310" t="e">
        <f t="shared" ca="1" si="141"/>
        <v>#N/A</v>
      </c>
      <c r="AD265" s="323" t="e">
        <f t="shared" ca="1" si="142"/>
        <v>#N/A</v>
      </c>
      <c r="AE265" s="324">
        <f t="shared" ca="1" si="121"/>
        <v>1090.2020560635988</v>
      </c>
      <c r="AG265" s="306">
        <f t="shared" ca="1" si="143"/>
        <v>-13.082341315193823</v>
      </c>
      <c r="AH265" s="304">
        <f t="shared" ca="1" si="144"/>
        <v>-3.7490669767602731</v>
      </c>
    </row>
    <row r="266" spans="1:34" x14ac:dyDescent="0.2">
      <c r="A266" s="347">
        <f t="shared" ca="1" si="122"/>
        <v>0.1</v>
      </c>
      <c r="B266" s="304">
        <f t="shared" ca="1" si="123"/>
        <v>8.1999999999999886</v>
      </c>
      <c r="D266" s="306">
        <f t="shared" ca="1" si="124"/>
        <v>-1.1319526783365503</v>
      </c>
      <c r="E266" s="307">
        <f t="shared" ca="1" si="125"/>
        <v>-13.266813925494894</v>
      </c>
      <c r="F266" s="304">
        <f t="shared" ca="1" si="126"/>
        <v>13.315016657882879</v>
      </c>
      <c r="G266" s="306">
        <f t="shared" ca="1" si="127"/>
        <v>27.385538713712251</v>
      </c>
      <c r="H266" s="307">
        <f t="shared" ca="1" si="128"/>
        <v>82.650333177157663</v>
      </c>
      <c r="I266" s="304">
        <f t="shared" ca="1" si="129"/>
        <v>87.069198370809644</v>
      </c>
      <c r="J266" s="306">
        <f t="shared" ca="1" si="130"/>
        <v>256.17002579729274</v>
      </c>
      <c r="K266" s="307">
        <f t="shared" ca="1" si="131"/>
        <v>1098.5334234509421</v>
      </c>
      <c r="L266" s="304">
        <f t="shared" ca="1" si="116"/>
        <v>1128.0065445536354</v>
      </c>
      <c r="M266" s="306">
        <f t="shared" ca="1" si="132"/>
        <v>1.2508389107518145</v>
      </c>
      <c r="N266" s="304">
        <f t="shared" ca="1" si="133"/>
        <v>71.667790436820027</v>
      </c>
      <c r="P266" s="310">
        <f t="shared" ca="1" si="134"/>
        <v>23</v>
      </c>
      <c r="Q266" s="304">
        <f t="shared" ca="1" si="135"/>
        <v>0</v>
      </c>
      <c r="R266" s="306">
        <f t="shared" ca="1" si="136"/>
        <v>0</v>
      </c>
      <c r="S266" s="307">
        <f t="shared" ca="1" si="137"/>
        <v>7.4799999999999969</v>
      </c>
      <c r="T266" s="304">
        <f t="shared" ca="1" si="117"/>
        <v>73.37879999999997</v>
      </c>
      <c r="U266" s="311">
        <f t="shared" ca="1" si="118"/>
        <v>0</v>
      </c>
      <c r="V266" s="306">
        <f t="shared" ca="1" si="119"/>
        <v>1.0974363047687798</v>
      </c>
      <c r="W266" s="304">
        <f t="shared" ca="1" si="120"/>
        <v>26.393960645401194</v>
      </c>
      <c r="Y266" s="314" t="str">
        <f t="shared" ca="1" si="138"/>
        <v/>
      </c>
      <c r="Z266" s="315" t="str">
        <f t="shared" ca="1" si="139"/>
        <v/>
      </c>
      <c r="AA266" s="316" t="str">
        <f t="shared" ca="1" si="140"/>
        <v/>
      </c>
      <c r="AC266" s="310" t="e">
        <f t="shared" ca="1" si="141"/>
        <v>#N/A</v>
      </c>
      <c r="AD266" s="323" t="e">
        <f t="shared" ca="1" si="142"/>
        <v>#N/A</v>
      </c>
      <c r="AE266" s="324">
        <f t="shared" ca="1" si="121"/>
        <v>1098.5334234509421</v>
      </c>
      <c r="AG266" s="306">
        <f t="shared" ca="1" si="143"/>
        <v>-12.960319617721986</v>
      </c>
      <c r="AH266" s="304">
        <f t="shared" ca="1" si="144"/>
        <v>-3.6374275774905405</v>
      </c>
    </row>
    <row r="267" spans="1:34" x14ac:dyDescent="0.2">
      <c r="A267" s="347">
        <f t="shared" ca="1" si="122"/>
        <v>0.1</v>
      </c>
      <c r="B267" s="304">
        <f t="shared" ca="1" si="123"/>
        <v>8.2999999999999883</v>
      </c>
      <c r="D267" s="306">
        <f t="shared" ca="1" si="124"/>
        <v>-1.1098383037130259</v>
      </c>
      <c r="E267" s="307">
        <f t="shared" ca="1" si="125"/>
        <v>-13.159523503392817</v>
      </c>
      <c r="F267" s="304">
        <f t="shared" ca="1" si="126"/>
        <v>13.206240944975089</v>
      </c>
      <c r="G267" s="306">
        <f t="shared" ca="1" si="127"/>
        <v>27.274554883340947</v>
      </c>
      <c r="H267" s="307">
        <f t="shared" ca="1" si="128"/>
        <v>81.334380826818375</v>
      </c>
      <c r="I267" s="304">
        <f t="shared" ca="1" si="129"/>
        <v>85.785679740655425</v>
      </c>
      <c r="J267" s="306">
        <f t="shared" ca="1" si="130"/>
        <v>258.90303047714542</v>
      </c>
      <c r="K267" s="307">
        <f t="shared" ca="1" si="131"/>
        <v>1106.732659151141</v>
      </c>
      <c r="L267" s="304">
        <f t="shared" ca="1" si="116"/>
        <v>1136.6124924625831</v>
      </c>
      <c r="M267" s="306">
        <f t="shared" ca="1" si="132"/>
        <v>1.2472421471927846</v>
      </c>
      <c r="N267" s="304">
        <f t="shared" ca="1" si="133"/>
        <v>71.461711064981159</v>
      </c>
      <c r="P267" s="310">
        <f t="shared" ca="1" si="134"/>
        <v>23</v>
      </c>
      <c r="Q267" s="304">
        <f t="shared" ca="1" si="135"/>
        <v>0</v>
      </c>
      <c r="R267" s="306">
        <f t="shared" ca="1" si="136"/>
        <v>0</v>
      </c>
      <c r="S267" s="307">
        <f t="shared" ca="1" si="137"/>
        <v>7.4799999999999969</v>
      </c>
      <c r="T267" s="304">
        <f t="shared" ca="1" si="117"/>
        <v>73.37879999999997</v>
      </c>
      <c r="U267" s="311">
        <f t="shared" ca="1" si="118"/>
        <v>0</v>
      </c>
      <c r="V267" s="306">
        <f t="shared" ca="1" si="119"/>
        <v>1.0965341185816042</v>
      </c>
      <c r="W267" s="304">
        <f t="shared" ca="1" si="120"/>
        <v>25.600467284203635</v>
      </c>
      <c r="Y267" s="314" t="str">
        <f t="shared" ca="1" si="138"/>
        <v/>
      </c>
      <c r="Z267" s="315" t="str">
        <f t="shared" ca="1" si="139"/>
        <v/>
      </c>
      <c r="AA267" s="316" t="str">
        <f t="shared" ca="1" si="140"/>
        <v/>
      </c>
      <c r="AC267" s="310" t="e">
        <f t="shared" ca="1" si="141"/>
        <v>#N/A</v>
      </c>
      <c r="AD267" s="323" t="e">
        <f t="shared" ca="1" si="142"/>
        <v>#N/A</v>
      </c>
      <c r="AE267" s="324">
        <f t="shared" ca="1" si="121"/>
        <v>1106.732659151141</v>
      </c>
      <c r="AG267" s="306">
        <f t="shared" ca="1" si="143"/>
        <v>-12.840735217049762</v>
      </c>
      <c r="AH267" s="304">
        <f t="shared" ca="1" si="144"/>
        <v>-3.5286043643584497</v>
      </c>
    </row>
    <row r="268" spans="1:34" x14ac:dyDescent="0.2">
      <c r="A268" s="347">
        <f t="shared" ca="1" si="122"/>
        <v>0.1</v>
      </c>
      <c r="B268" s="304">
        <f t="shared" ca="1" si="123"/>
        <v>8.3999999999999879</v>
      </c>
      <c r="D268" s="306">
        <f t="shared" ca="1" si="124"/>
        <v>-1.0881510100986052</v>
      </c>
      <c r="E268" s="307">
        <f t="shared" ca="1" si="125"/>
        <v>-13.054932466579118</v>
      </c>
      <c r="F268" s="304">
        <f t="shared" ca="1" si="126"/>
        <v>13.100203598712508</v>
      </c>
      <c r="G268" s="306">
        <f t="shared" ca="1" si="127"/>
        <v>27.165739782331087</v>
      </c>
      <c r="H268" s="307">
        <f t="shared" ca="1" si="128"/>
        <v>80.028887580160458</v>
      </c>
      <c r="I268" s="304">
        <f t="shared" ca="1" si="129"/>
        <v>84.513905750706414</v>
      </c>
      <c r="J268" s="306">
        <f t="shared" ca="1" si="130"/>
        <v>261.62504521042905</v>
      </c>
      <c r="K268" s="307">
        <f t="shared" ca="1" si="131"/>
        <v>1114.80082257149</v>
      </c>
      <c r="L268" s="304">
        <f t="shared" ca="1" si="116"/>
        <v>1145.0888778987548</v>
      </c>
      <c r="M268" s="306">
        <f t="shared" ca="1" si="132"/>
        <v>1.2435516515637939</v>
      </c>
      <c r="N268" s="304">
        <f t="shared" ca="1" si="133"/>
        <v>71.250261241128513</v>
      </c>
      <c r="P268" s="310">
        <f t="shared" ca="1" si="134"/>
        <v>23</v>
      </c>
      <c r="Q268" s="304">
        <f t="shared" ca="1" si="135"/>
        <v>0</v>
      </c>
      <c r="R268" s="306">
        <f t="shared" ca="1" si="136"/>
        <v>0</v>
      </c>
      <c r="S268" s="307">
        <f t="shared" ca="1" si="137"/>
        <v>7.4799999999999969</v>
      </c>
      <c r="T268" s="304">
        <f t="shared" ca="1" si="117"/>
        <v>73.37879999999997</v>
      </c>
      <c r="U268" s="311">
        <f t="shared" ca="1" si="118"/>
        <v>0</v>
      </c>
      <c r="V268" s="306">
        <f t="shared" ca="1" si="119"/>
        <v>1.095647038622289</v>
      </c>
      <c r="W268" s="304">
        <f t="shared" ca="1" si="120"/>
        <v>24.826938269811826</v>
      </c>
      <c r="Y268" s="314" t="str">
        <f t="shared" ca="1" si="138"/>
        <v/>
      </c>
      <c r="Z268" s="315" t="str">
        <f t="shared" ca="1" si="139"/>
        <v/>
      </c>
      <c r="AA268" s="316" t="str">
        <f t="shared" ca="1" si="140"/>
        <v/>
      </c>
      <c r="AC268" s="310" t="e">
        <f t="shared" ca="1" si="141"/>
        <v>#N/A</v>
      </c>
      <c r="AD268" s="323" t="e">
        <f t="shared" ca="1" si="142"/>
        <v>#N/A</v>
      </c>
      <c r="AE268" s="324">
        <f t="shared" ca="1" si="121"/>
        <v>1114.80082257149</v>
      </c>
      <c r="AG268" s="306">
        <f t="shared" ca="1" si="143"/>
        <v>-12.723495187672443</v>
      </c>
      <c r="AH268" s="304">
        <f t="shared" ca="1" si="144"/>
        <v>-3.4225223641983482</v>
      </c>
    </row>
    <row r="269" spans="1:34" x14ac:dyDescent="0.2">
      <c r="A269" s="347">
        <f t="shared" ca="1" si="122"/>
        <v>0.1</v>
      </c>
      <c r="B269" s="304">
        <f t="shared" ca="1" si="123"/>
        <v>8.4999999999999876</v>
      </c>
      <c r="D269" s="306">
        <f t="shared" ca="1" si="124"/>
        <v>-1.066878418591098</v>
      </c>
      <c r="E269" s="307">
        <f t="shared" ca="1" si="125"/>
        <v>-12.95296955309346</v>
      </c>
      <c r="F269" s="304">
        <f t="shared" ca="1" si="126"/>
        <v>12.996832298811185</v>
      </c>
      <c r="G269" s="306">
        <f t="shared" ca="1" si="127"/>
        <v>27.059051940471978</v>
      </c>
      <c r="H269" s="307">
        <f t="shared" ca="1" si="128"/>
        <v>78.733590624851118</v>
      </c>
      <c r="I269" s="304">
        <f t="shared" ca="1" si="129"/>
        <v>83.253652079646358</v>
      </c>
      <c r="J269" s="306">
        <f t="shared" ca="1" si="130"/>
        <v>264.3362847965692</v>
      </c>
      <c r="K269" s="307">
        <f t="shared" ca="1" si="131"/>
        <v>1122.7389464817406</v>
      </c>
      <c r="L269" s="304">
        <f t="shared" ca="1" si="116"/>
        <v>1153.4367834463153</v>
      </c>
      <c r="M269" s="306">
        <f t="shared" ca="1" si="132"/>
        <v>1.2397640863819346</v>
      </c>
      <c r="N269" s="304">
        <f t="shared" ca="1" si="133"/>
        <v>71.033249741577265</v>
      </c>
      <c r="P269" s="310">
        <f t="shared" ca="1" si="134"/>
        <v>23</v>
      </c>
      <c r="Q269" s="304">
        <f t="shared" ca="1" si="135"/>
        <v>0</v>
      </c>
      <c r="R269" s="306">
        <f t="shared" ca="1" si="136"/>
        <v>0</v>
      </c>
      <c r="S269" s="307">
        <f t="shared" ca="1" si="137"/>
        <v>7.4799999999999969</v>
      </c>
      <c r="T269" s="304">
        <f t="shared" ca="1" si="117"/>
        <v>73.37879999999997</v>
      </c>
      <c r="U269" s="311">
        <f t="shared" ca="1" si="118"/>
        <v>0</v>
      </c>
      <c r="V269" s="306">
        <f t="shared" ca="1" si="119"/>
        <v>1.0947749176444552</v>
      </c>
      <c r="W269" s="304">
        <f t="shared" ca="1" si="120"/>
        <v>24.072853665176403</v>
      </c>
      <c r="Y269" s="314" t="str">
        <f t="shared" ca="1" si="138"/>
        <v/>
      </c>
      <c r="Z269" s="315" t="str">
        <f t="shared" ca="1" si="139"/>
        <v/>
      </c>
      <c r="AA269" s="316" t="str">
        <f t="shared" ca="1" si="140"/>
        <v/>
      </c>
      <c r="AC269" s="310" t="e">
        <f t="shared" ca="1" si="141"/>
        <v>#N/A</v>
      </c>
      <c r="AD269" s="323" t="e">
        <f t="shared" ca="1" si="142"/>
        <v>#N/A</v>
      </c>
      <c r="AE269" s="324">
        <f t="shared" ca="1" si="121"/>
        <v>1122.7389464817406</v>
      </c>
      <c r="AG269" s="306">
        <f t="shared" ca="1" si="143"/>
        <v>-12.608508342234341</v>
      </c>
      <c r="AH269" s="304">
        <f t="shared" ca="1" si="144"/>
        <v>-3.3191093943598711</v>
      </c>
    </row>
    <row r="270" spans="1:34" x14ac:dyDescent="0.2">
      <c r="A270" s="347">
        <f t="shared" ca="1" si="122"/>
        <v>0.1</v>
      </c>
      <c r="B270" s="304">
        <f t="shared" ca="1" si="123"/>
        <v>8.5999999999999872</v>
      </c>
      <c r="D270" s="306">
        <f t="shared" ca="1" si="124"/>
        <v>-1.0460086128097981</v>
      </c>
      <c r="E270" s="307">
        <f t="shared" ca="1" si="125"/>
        <v>-12.853566126862557</v>
      </c>
      <c r="F270" s="304">
        <f t="shared" ca="1" si="126"/>
        <v>12.896057389593953</v>
      </c>
      <c r="G270" s="306">
        <f t="shared" ca="1" si="127"/>
        <v>26.954451079190999</v>
      </c>
      <c r="H270" s="307">
        <f t="shared" ca="1" si="128"/>
        <v>77.44823401216486</v>
      </c>
      <c r="I270" s="304">
        <f t="shared" ca="1" si="129"/>
        <v>82.004703429642078</v>
      </c>
      <c r="J270" s="306">
        <f t="shared" ca="1" si="130"/>
        <v>267.03695994755236</v>
      </c>
      <c r="K270" s="307">
        <f t="shared" ca="1" si="131"/>
        <v>1130.5480377135914</v>
      </c>
      <c r="L270" s="304">
        <f t="shared" ca="1" si="116"/>
        <v>1161.6572659593203</v>
      </c>
      <c r="M270" s="306">
        <f t="shared" ca="1" si="132"/>
        <v>1.2358759577725884</v>
      </c>
      <c r="N270" s="304">
        <f t="shared" ca="1" si="133"/>
        <v>70.810476382057658</v>
      </c>
      <c r="P270" s="310">
        <f t="shared" ca="1" si="134"/>
        <v>23</v>
      </c>
      <c r="Q270" s="304">
        <f t="shared" ca="1" si="135"/>
        <v>0</v>
      </c>
      <c r="R270" s="306">
        <f t="shared" ca="1" si="136"/>
        <v>0</v>
      </c>
      <c r="S270" s="307">
        <f t="shared" ca="1" si="137"/>
        <v>7.4799999999999969</v>
      </c>
      <c r="T270" s="304">
        <f t="shared" ca="1" si="117"/>
        <v>73.37879999999997</v>
      </c>
      <c r="U270" s="311">
        <f t="shared" ca="1" si="118"/>
        <v>0</v>
      </c>
      <c r="V270" s="306">
        <f t="shared" ca="1" si="119"/>
        <v>1.0939176121956371</v>
      </c>
      <c r="W270" s="304">
        <f t="shared" ca="1" si="120"/>
        <v>23.337712683111199</v>
      </c>
      <c r="Y270" s="314" t="str">
        <f t="shared" ca="1" si="138"/>
        <v/>
      </c>
      <c r="Z270" s="315" t="str">
        <f t="shared" ca="1" si="139"/>
        <v/>
      </c>
      <c r="AA270" s="316" t="str">
        <f t="shared" ca="1" si="140"/>
        <v/>
      </c>
      <c r="AC270" s="310" t="e">
        <f t="shared" ca="1" si="141"/>
        <v>#N/A</v>
      </c>
      <c r="AD270" s="323" t="e">
        <f t="shared" ca="1" si="142"/>
        <v>#N/A</v>
      </c>
      <c r="AE270" s="324">
        <f t="shared" ca="1" si="121"/>
        <v>1130.5480377135914</v>
      </c>
      <c r="AG270" s="306">
        <f t="shared" ca="1" si="143"/>
        <v>-12.495685040829382</v>
      </c>
      <c r="AH270" s="304">
        <f t="shared" ca="1" si="144"/>
        <v>-3.2182959445423012</v>
      </c>
    </row>
    <row r="271" spans="1:34" x14ac:dyDescent="0.2">
      <c r="A271" s="347">
        <f t="shared" ca="1" si="122"/>
        <v>0.1</v>
      </c>
      <c r="B271" s="304">
        <f t="shared" ca="1" si="123"/>
        <v>8.6999999999999869</v>
      </c>
      <c r="D271" s="306">
        <f t="shared" ca="1" si="124"/>
        <v>-1.0255301209266008</v>
      </c>
      <c r="E271" s="307">
        <f t="shared" ca="1" si="125"/>
        <v>-12.756656066513781</v>
      </c>
      <c r="F271" s="304">
        <f t="shared" ca="1" si="126"/>
        <v>12.797811767183115</v>
      </c>
      <c r="G271" s="306">
        <f t="shared" ca="1" si="127"/>
        <v>26.85189806709834</v>
      </c>
      <c r="H271" s="307">
        <f t="shared" ca="1" si="128"/>
        <v>76.172568405513488</v>
      </c>
      <c r="I271" s="304">
        <f t="shared" ca="1" si="129"/>
        <v>80.766853394808393</v>
      </c>
      <c r="J271" s="306">
        <f t="shared" ca="1" si="130"/>
        <v>269.72727740486681</v>
      </c>
      <c r="K271" s="307">
        <f t="shared" ca="1" si="131"/>
        <v>1138.2290778344752</v>
      </c>
      <c r="L271" s="304">
        <f t="shared" ca="1" si="116"/>
        <v>1169.7513572568155</v>
      </c>
      <c r="M271" s="306">
        <f t="shared" ca="1" si="132"/>
        <v>1.231883606675376</v>
      </c>
      <c r="N271" s="304">
        <f t="shared" ca="1" si="133"/>
        <v>70.581731513852972</v>
      </c>
      <c r="P271" s="310">
        <f t="shared" ca="1" si="134"/>
        <v>23</v>
      </c>
      <c r="Q271" s="304">
        <f t="shared" ca="1" si="135"/>
        <v>0</v>
      </c>
      <c r="R271" s="306">
        <f t="shared" ca="1" si="136"/>
        <v>0</v>
      </c>
      <c r="S271" s="307">
        <f t="shared" ca="1" si="137"/>
        <v>7.4799999999999969</v>
      </c>
      <c r="T271" s="304">
        <f t="shared" ca="1" si="117"/>
        <v>73.37879999999997</v>
      </c>
      <c r="U271" s="311">
        <f t="shared" ca="1" si="118"/>
        <v>0</v>
      </c>
      <c r="V271" s="306">
        <f t="shared" ca="1" si="119"/>
        <v>1.0930749825150372</v>
      </c>
      <c r="W271" s="304">
        <f t="shared" ca="1" si="120"/>
        <v>22.621032889016718</v>
      </c>
      <c r="Y271" s="314" t="str">
        <f t="shared" ca="1" si="138"/>
        <v/>
      </c>
      <c r="Z271" s="315" t="str">
        <f t="shared" ca="1" si="139"/>
        <v/>
      </c>
      <c r="AA271" s="316" t="str">
        <f t="shared" ca="1" si="140"/>
        <v/>
      </c>
      <c r="AC271" s="310" t="e">
        <f t="shared" ca="1" si="141"/>
        <v>#N/A</v>
      </c>
      <c r="AD271" s="323" t="e">
        <f t="shared" ca="1" si="142"/>
        <v>#N/A</v>
      </c>
      <c r="AE271" s="324">
        <f t="shared" ca="1" si="121"/>
        <v>1138.2290778344752</v>
      </c>
      <c r="AG271" s="306">
        <f t="shared" ca="1" si="143"/>
        <v>-12.384937000573304</v>
      </c>
      <c r="AH271" s="304">
        <f t="shared" ca="1" si="144"/>
        <v>-3.1200150645870601</v>
      </c>
    </row>
    <row r="272" spans="1:34" x14ac:dyDescent="0.2">
      <c r="A272" s="347">
        <f t="shared" ca="1" si="122"/>
        <v>0.1</v>
      </c>
      <c r="B272" s="304">
        <f t="shared" ca="1" si="123"/>
        <v>8.7999999999999865</v>
      </c>
      <c r="D272" s="306">
        <f t="shared" ca="1" si="124"/>
        <v>-1.0054318987294986</v>
      </c>
      <c r="E272" s="307">
        <f t="shared" ca="1" si="125"/>
        <v>-12.662175659675222</v>
      </c>
      <c r="F272" s="304">
        <f t="shared" ca="1" si="126"/>
        <v>12.702030772260569</v>
      </c>
      <c r="G272" s="306">
        <f t="shared" ca="1" si="127"/>
        <v>26.751354877225388</v>
      </c>
      <c r="H272" s="307">
        <f t="shared" ca="1" si="128"/>
        <v>74.906350839545965</v>
      </c>
      <c r="I272" s="304">
        <f t="shared" ca="1" si="129"/>
        <v>79.539904349102642</v>
      </c>
      <c r="J272" s="306">
        <f t="shared" ca="1" si="130"/>
        <v>272.40744005208302</v>
      </c>
      <c r="K272" s="307">
        <f t="shared" ca="1" si="131"/>
        <v>1145.7830237967282</v>
      </c>
      <c r="L272" s="304">
        <f t="shared" ca="1" si="116"/>
        <v>1177.7200647932018</v>
      </c>
      <c r="M272" s="306">
        <f t="shared" ca="1" si="132"/>
        <v>1.2277831994852932</v>
      </c>
      <c r="N272" s="304">
        <f t="shared" ca="1" si="133"/>
        <v>70.346795487576131</v>
      </c>
      <c r="P272" s="310">
        <f t="shared" ca="1" si="134"/>
        <v>23</v>
      </c>
      <c r="Q272" s="304">
        <f t="shared" ca="1" si="135"/>
        <v>0</v>
      </c>
      <c r="R272" s="306">
        <f t="shared" ca="1" si="136"/>
        <v>0</v>
      </c>
      <c r="S272" s="307">
        <f t="shared" ca="1" si="137"/>
        <v>7.4799999999999969</v>
      </c>
      <c r="T272" s="304">
        <f t="shared" ca="1" si="117"/>
        <v>73.37879999999997</v>
      </c>
      <c r="U272" s="311">
        <f t="shared" ca="1" si="118"/>
        <v>0</v>
      </c>
      <c r="V272" s="306">
        <f t="shared" ca="1" si="119"/>
        <v>1.0922468924351068</v>
      </c>
      <c r="W272" s="304">
        <f t="shared" ca="1" si="120"/>
        <v>21.922349443268846</v>
      </c>
      <c r="Y272" s="314" t="str">
        <f t="shared" ca="1" si="138"/>
        <v/>
      </c>
      <c r="Z272" s="315" t="str">
        <f t="shared" ca="1" si="139"/>
        <v/>
      </c>
      <c r="AA272" s="316" t="str">
        <f t="shared" ca="1" si="140"/>
        <v/>
      </c>
      <c r="AC272" s="310" t="e">
        <f t="shared" ca="1" si="141"/>
        <v>#N/A</v>
      </c>
      <c r="AD272" s="323" t="e">
        <f t="shared" ca="1" si="142"/>
        <v>#N/A</v>
      </c>
      <c r="AE272" s="324">
        <f t="shared" ca="1" si="121"/>
        <v>1145.7830237967282</v>
      </c>
      <c r="AG272" s="306">
        <f t="shared" ca="1" si="143"/>
        <v>-12.276177104617343</v>
      </c>
      <c r="AH272" s="304">
        <f t="shared" ca="1" si="144"/>
        <v>-3.0242022578899368</v>
      </c>
    </row>
    <row r="273" spans="1:34" x14ac:dyDescent="0.2">
      <c r="A273" s="347">
        <f t="shared" ca="1" si="122"/>
        <v>0.1</v>
      </c>
      <c r="B273" s="304">
        <f t="shared" ca="1" si="123"/>
        <v>8.8999999999999861</v>
      </c>
      <c r="D273" s="306">
        <f t="shared" ca="1" si="124"/>
        <v>-0.98570331367144148</v>
      </c>
      <c r="E273" s="307">
        <f t="shared" ca="1" si="125"/>
        <v>-12.570063502444709</v>
      </c>
      <c r="F273" s="304">
        <f t="shared" ca="1" si="126"/>
        <v>12.608652088073308</v>
      </c>
      <c r="G273" s="306">
        <f t="shared" ca="1" si="127"/>
        <v>26.652784545858243</v>
      </c>
      <c r="H273" s="307">
        <f t="shared" ca="1" si="128"/>
        <v>73.649344489301498</v>
      </c>
      <c r="I273" s="304">
        <f t="shared" ca="1" si="129"/>
        <v>78.323667353819332</v>
      </c>
      <c r="J273" s="306">
        <f t="shared" ca="1" si="130"/>
        <v>275.0776470232372</v>
      </c>
      <c r="K273" s="307">
        <f t="shared" ca="1" si="131"/>
        <v>1153.2108085631705</v>
      </c>
      <c r="L273" s="304">
        <f t="shared" ca="1" si="116"/>
        <v>1185.5643723049213</v>
      </c>
      <c r="M273" s="306">
        <f t="shared" ca="1" si="132"/>
        <v>1.2235707180899402</v>
      </c>
      <c r="N273" s="304">
        <f t="shared" ca="1" si="133"/>
        <v>70.105438082345017</v>
      </c>
      <c r="P273" s="310">
        <f t="shared" ca="1" si="134"/>
        <v>23</v>
      </c>
      <c r="Q273" s="304">
        <f t="shared" ca="1" si="135"/>
        <v>0</v>
      </c>
      <c r="R273" s="306">
        <f t="shared" ca="1" si="136"/>
        <v>0</v>
      </c>
      <c r="S273" s="307">
        <f t="shared" ca="1" si="137"/>
        <v>7.4799999999999969</v>
      </c>
      <c r="T273" s="304">
        <f t="shared" ca="1" si="117"/>
        <v>73.37879999999997</v>
      </c>
      <c r="U273" s="311">
        <f t="shared" ca="1" si="118"/>
        <v>0</v>
      </c>
      <c r="V273" s="306">
        <f t="shared" ca="1" si="119"/>
        <v>1.0914332092867902</v>
      </c>
      <c r="W273" s="304">
        <f t="shared" ca="1" si="120"/>
        <v>21.24121438105324</v>
      </c>
      <c r="Y273" s="314" t="str">
        <f t="shared" ca="1" si="138"/>
        <v/>
      </c>
      <c r="Z273" s="315" t="str">
        <f t="shared" ca="1" si="139"/>
        <v/>
      </c>
      <c r="AA273" s="316" t="str">
        <f t="shared" ca="1" si="140"/>
        <v/>
      </c>
      <c r="AC273" s="310" t="e">
        <f t="shared" ca="1" si="141"/>
        <v>#N/A</v>
      </c>
      <c r="AD273" s="323" t="e">
        <f t="shared" ca="1" si="142"/>
        <v>#N/A</v>
      </c>
      <c r="AE273" s="324">
        <f t="shared" ca="1" si="121"/>
        <v>1153.2108085631705</v>
      </c>
      <c r="AG273" s="306">
        <f t="shared" ca="1" si="143"/>
        <v>-12.169319209749554</v>
      </c>
      <c r="AH273" s="304">
        <f t="shared" ca="1" si="144"/>
        <v>-2.930795380116157</v>
      </c>
    </row>
    <row r="274" spans="1:34" x14ac:dyDescent="0.2">
      <c r="A274" s="347">
        <f t="shared" ca="1" si="122"/>
        <v>0.1</v>
      </c>
      <c r="B274" s="304">
        <f t="shared" ca="1" si="123"/>
        <v>8.9999999999999858</v>
      </c>
      <c r="D274" s="306">
        <f t="shared" ca="1" si="124"/>
        <v>-0.96633412986156286</v>
      </c>
      <c r="E274" s="307">
        <f t="shared" ca="1" si="125"/>
        <v>-12.480260403729682</v>
      </c>
      <c r="F274" s="304">
        <f t="shared" ca="1" si="126"/>
        <v>12.517615643381861</v>
      </c>
      <c r="G274" s="306">
        <f t="shared" ca="1" si="127"/>
        <v>26.556151132872085</v>
      </c>
      <c r="H274" s="307">
        <f t="shared" ca="1" si="128"/>
        <v>72.401318448928535</v>
      </c>
      <c r="I274" s="304">
        <f t="shared" ca="1" si="129"/>
        <v>77.117962084945574</v>
      </c>
      <c r="J274" s="306">
        <f t="shared" ca="1" si="130"/>
        <v>277.7380938071737</v>
      </c>
      <c r="K274" s="307">
        <f t="shared" ca="1" si="131"/>
        <v>1160.5133417100819</v>
      </c>
      <c r="L274" s="304">
        <f t="shared" ca="1" si="116"/>
        <v>1193.2852404344669</v>
      </c>
      <c r="M274" s="306">
        <f t="shared" ca="1" si="132"/>
        <v>1.2192419492610724</v>
      </c>
      <c r="N274" s="304">
        <f t="shared" ca="1" si="133"/>
        <v>69.857417897963117</v>
      </c>
      <c r="P274" s="310">
        <f t="shared" ca="1" si="134"/>
        <v>23</v>
      </c>
      <c r="Q274" s="304">
        <f t="shared" ca="1" si="135"/>
        <v>0</v>
      </c>
      <c r="R274" s="306">
        <f t="shared" ca="1" si="136"/>
        <v>0</v>
      </c>
      <c r="S274" s="307">
        <f t="shared" ca="1" si="137"/>
        <v>7.4799999999999969</v>
      </c>
      <c r="T274" s="304">
        <f t="shared" ca="1" si="117"/>
        <v>73.37879999999997</v>
      </c>
      <c r="U274" s="311">
        <f t="shared" ca="1" si="118"/>
        <v>0</v>
      </c>
      <c r="V274" s="306">
        <f t="shared" ca="1" si="119"/>
        <v>1.0906338038082815</v>
      </c>
      <c r="W274" s="304">
        <f t="shared" ca="1" si="120"/>
        <v>20.577195927564777</v>
      </c>
      <c r="Y274" s="314" t="str">
        <f t="shared" ca="1" si="138"/>
        <v/>
      </c>
      <c r="Z274" s="315" t="str">
        <f t="shared" ca="1" si="139"/>
        <v/>
      </c>
      <c r="AA274" s="316" t="str">
        <f t="shared" ca="1" si="140"/>
        <v/>
      </c>
      <c r="AC274" s="310">
        <f t="shared" ca="1" si="141"/>
        <v>8.9999999999999858</v>
      </c>
      <c r="AD274" s="323">
        <f t="shared" ca="1" si="142"/>
        <v>277.7380938071737</v>
      </c>
      <c r="AE274" s="324">
        <f t="shared" ca="1" si="121"/>
        <v>1160.5133417100819</v>
      </c>
      <c r="AG274" s="306">
        <f t="shared" ca="1" si="143"/>
        <v>-12.064277951700234</v>
      </c>
      <c r="AH274" s="304">
        <f t="shared" ca="1" si="144"/>
        <v>-2.8397345429215575</v>
      </c>
    </row>
    <row r="275" spans="1:34" x14ac:dyDescent="0.2">
      <c r="A275" s="347">
        <f t="shared" ca="1" si="122"/>
        <v>0.1</v>
      </c>
      <c r="B275" s="304">
        <f t="shared" ca="1" si="123"/>
        <v>9.0999999999999854</v>
      </c>
      <c r="D275" s="306">
        <f t="shared" ca="1" si="124"/>
        <v>-0.94731449395954059</v>
      </c>
      <c r="E275" s="307">
        <f t="shared" ca="1" si="125"/>
        <v>-12.39270929417747</v>
      </c>
      <c r="F275" s="304">
        <f t="shared" ca="1" si="126"/>
        <v>12.428863520067249</v>
      </c>
      <c r="G275" s="306">
        <f t="shared" ca="1" si="127"/>
        <v>26.46141968347613</v>
      </c>
      <c r="H275" s="307">
        <f t="shared" ca="1" si="128"/>
        <v>71.162047519510793</v>
      </c>
      <c r="I275" s="304">
        <f t="shared" ca="1" si="129"/>
        <v>75.922616780733861</v>
      </c>
      <c r="J275" s="306">
        <f t="shared" ca="1" si="130"/>
        <v>280.38897234799111</v>
      </c>
      <c r="K275" s="307">
        <f t="shared" ca="1" si="131"/>
        <v>1167.6915100085039</v>
      </c>
      <c r="L275" s="304">
        <f t="shared" ca="1" si="116"/>
        <v>1200.8836073326599</v>
      </c>
      <c r="M275" s="306">
        <f t="shared" ca="1" si="132"/>
        <v>1.2147924733558833</v>
      </c>
      <c r="N275" s="304">
        <f t="shared" ca="1" si="133"/>
        <v>69.602481707550623</v>
      </c>
      <c r="P275" s="310">
        <f t="shared" ca="1" si="134"/>
        <v>23</v>
      </c>
      <c r="Q275" s="304">
        <f t="shared" ca="1" si="135"/>
        <v>0</v>
      </c>
      <c r="R275" s="306">
        <f t="shared" ca="1" si="136"/>
        <v>0</v>
      </c>
      <c r="S275" s="307">
        <f t="shared" ca="1" si="137"/>
        <v>7.4799999999999969</v>
      </c>
      <c r="T275" s="304">
        <f t="shared" ca="1" si="117"/>
        <v>73.37879999999997</v>
      </c>
      <c r="U275" s="311">
        <f t="shared" ca="1" si="118"/>
        <v>0</v>
      </c>
      <c r="V275" s="306">
        <f t="shared" ca="1" si="119"/>
        <v>1.0898485500571393</v>
      </c>
      <c r="W275" s="304">
        <f t="shared" ca="1" si="120"/>
        <v>19.929877846621938</v>
      </c>
      <c r="Y275" s="314" t="str">
        <f t="shared" ca="1" si="138"/>
        <v/>
      </c>
      <c r="Z275" s="315" t="str">
        <f t="shared" ca="1" si="139"/>
        <v/>
      </c>
      <c r="AA275" s="316" t="str">
        <f t="shared" ca="1" si="140"/>
        <v/>
      </c>
      <c r="AC275" s="310" t="e">
        <f t="shared" ca="1" si="141"/>
        <v>#N/A</v>
      </c>
      <c r="AD275" s="323" t="e">
        <f t="shared" ca="1" si="142"/>
        <v>#N/A</v>
      </c>
      <c r="AE275" s="324">
        <f t="shared" ca="1" si="121"/>
        <v>1167.6915100085039</v>
      </c>
      <c r="AG275" s="306">
        <f t="shared" ca="1" si="143"/>
        <v>-11.960968547232326</v>
      </c>
      <c r="AH275" s="304">
        <f t="shared" ca="1" si="144"/>
        <v>-2.7509620224017093</v>
      </c>
    </row>
    <row r="276" spans="1:34" x14ac:dyDescent="0.2">
      <c r="A276" s="347">
        <f t="shared" ca="1" si="122"/>
        <v>0.1</v>
      </c>
      <c r="B276" s="304">
        <f t="shared" ca="1" si="123"/>
        <v>9.1999999999999851</v>
      </c>
      <c r="D276" s="306">
        <f t="shared" ca="1" si="124"/>
        <v>-0.92863492193753494</v>
      </c>
      <c r="E276" s="307">
        <f t="shared" ca="1" si="125"/>
        <v>-12.307355139431994</v>
      </c>
      <c r="F276" s="304">
        <f t="shared" ca="1" si="126"/>
        <v>12.342339865128697</v>
      </c>
      <c r="G276" s="306">
        <f t="shared" ca="1" si="127"/>
        <v>26.368556191282376</v>
      </c>
      <c r="H276" s="307">
        <f t="shared" ca="1" si="128"/>
        <v>69.931312005567591</v>
      </c>
      <c r="I276" s="304">
        <f t="shared" ca="1" si="129"/>
        <v>74.737468209947139</v>
      </c>
      <c r="J276" s="306">
        <f t="shared" ca="1" si="130"/>
        <v>283.03047114172904</v>
      </c>
      <c r="K276" s="307">
        <f t="shared" ca="1" si="131"/>
        <v>1174.7461779847579</v>
      </c>
      <c r="L276" s="304">
        <f t="shared" ca="1" si="116"/>
        <v>1208.3603892401081</v>
      </c>
      <c r="M276" s="306">
        <f t="shared" ca="1" si="132"/>
        <v>1.2102176522804731</v>
      </c>
      <c r="N276" s="304">
        <f t="shared" ca="1" si="133"/>
        <v>69.340363767902119</v>
      </c>
      <c r="P276" s="310">
        <f t="shared" ca="1" si="134"/>
        <v>23</v>
      </c>
      <c r="Q276" s="304">
        <f t="shared" ca="1" si="135"/>
        <v>0</v>
      </c>
      <c r="R276" s="306">
        <f t="shared" ca="1" si="136"/>
        <v>0</v>
      </c>
      <c r="S276" s="307">
        <f t="shared" ca="1" si="137"/>
        <v>7.4799999999999969</v>
      </c>
      <c r="T276" s="304">
        <f t="shared" ca="1" si="117"/>
        <v>73.37879999999997</v>
      </c>
      <c r="U276" s="311">
        <f t="shared" ca="1" si="118"/>
        <v>0</v>
      </c>
      <c r="V276" s="306">
        <f t="shared" ca="1" si="119"/>
        <v>1.0890773253256265</v>
      </c>
      <c r="W276" s="304">
        <f t="shared" ca="1" si="120"/>
        <v>19.298858820866492</v>
      </c>
      <c r="Y276" s="314" t="str">
        <f t="shared" ca="1" si="138"/>
        <v/>
      </c>
      <c r="Z276" s="315" t="str">
        <f t="shared" ca="1" si="139"/>
        <v/>
      </c>
      <c r="AA276" s="316" t="str">
        <f t="shared" ca="1" si="140"/>
        <v/>
      </c>
      <c r="AC276" s="310" t="e">
        <f t="shared" ca="1" si="141"/>
        <v>#N/A</v>
      </c>
      <c r="AD276" s="323" t="e">
        <f t="shared" ca="1" si="142"/>
        <v>#N/A</v>
      </c>
      <c r="AE276" s="324">
        <f t="shared" ca="1" si="121"/>
        <v>1174.7461779847579</v>
      </c>
      <c r="AG276" s="306">
        <f t="shared" ca="1" si="143"/>
        <v>-11.859306592055706</v>
      </c>
      <c r="AH276" s="304">
        <f t="shared" ca="1" si="144"/>
        <v>-2.6644221720082815</v>
      </c>
    </row>
    <row r="277" spans="1:34" x14ac:dyDescent="0.2">
      <c r="A277" s="347">
        <f t="shared" ca="1" si="122"/>
        <v>0.1</v>
      </c>
      <c r="B277" s="304">
        <f t="shared" ca="1" si="123"/>
        <v>9.2999999999999847</v>
      </c>
      <c r="D277" s="306">
        <f t="shared" ca="1" si="124"/>
        <v>-0.91028628667761702</v>
      </c>
      <c r="E277" s="307">
        <f t="shared" ca="1" si="125"/>
        <v>-12.224144857468064</v>
      </c>
      <c r="F277" s="304">
        <f t="shared" ca="1" si="126"/>
        <v>12.257990806819699</v>
      </c>
      <c r="G277" s="306">
        <f t="shared" ca="1" si="127"/>
        <v>26.277527562614615</v>
      </c>
      <c r="H277" s="307">
        <f t="shared" ca="1" si="128"/>
        <v>68.708897519820781</v>
      </c>
      <c r="I277" s="304">
        <f t="shared" ca="1" si="129"/>
        <v>73.56236166133607</v>
      </c>
      <c r="J277" s="306">
        <f t="shared" ca="1" si="130"/>
        <v>285.66277532942388</v>
      </c>
      <c r="K277" s="307">
        <f t="shared" ca="1" si="131"/>
        <v>1181.6781884610273</v>
      </c>
      <c r="L277" s="304">
        <f t="shared" ca="1" si="116"/>
        <v>1215.7164810487041</v>
      </c>
      <c r="M277" s="306">
        <f t="shared" ca="1" si="132"/>
        <v>1.2055126166648771</v>
      </c>
      <c r="N277" s="304">
        <f t="shared" ca="1" si="133"/>
        <v>69.070785084669723</v>
      </c>
      <c r="P277" s="310">
        <f t="shared" ca="1" si="134"/>
        <v>23</v>
      </c>
      <c r="Q277" s="304">
        <f t="shared" ca="1" si="135"/>
        <v>0</v>
      </c>
      <c r="R277" s="306">
        <f t="shared" ca="1" si="136"/>
        <v>0</v>
      </c>
      <c r="S277" s="307">
        <f t="shared" ca="1" si="137"/>
        <v>7.4799999999999969</v>
      </c>
      <c r="T277" s="304">
        <f t="shared" ca="1" si="117"/>
        <v>73.37879999999997</v>
      </c>
      <c r="U277" s="311">
        <f t="shared" ca="1" si="118"/>
        <v>0</v>
      </c>
      <c r="V277" s="306">
        <f t="shared" ca="1" si="119"/>
        <v>1.0883200100591339</v>
      </c>
      <c r="W277" s="304">
        <f t="shared" ca="1" si="120"/>
        <v>18.683751861831478</v>
      </c>
      <c r="Y277" s="314" t="str">
        <f t="shared" ca="1" si="138"/>
        <v/>
      </c>
      <c r="Z277" s="315" t="str">
        <f t="shared" ca="1" si="139"/>
        <v/>
      </c>
      <c r="AA277" s="316" t="str">
        <f t="shared" ca="1" si="140"/>
        <v/>
      </c>
      <c r="AC277" s="310" t="e">
        <f t="shared" ca="1" si="141"/>
        <v>#N/A</v>
      </c>
      <c r="AD277" s="323" t="e">
        <f t="shared" ca="1" si="142"/>
        <v>#N/A</v>
      </c>
      <c r="AE277" s="324">
        <f t="shared" ca="1" si="121"/>
        <v>1181.6781884610273</v>
      </c>
      <c r="AG277" s="306">
        <f t="shared" ca="1" si="143"/>
        <v>-11.759207853555518</v>
      </c>
      <c r="AH277" s="304">
        <f t="shared" ca="1" si="144"/>
        <v>-2.5800613396880347</v>
      </c>
    </row>
    <row r="278" spans="1:34" x14ac:dyDescent="0.2">
      <c r="A278" s="347">
        <f t="shared" ca="1" si="122"/>
        <v>0.1</v>
      </c>
      <c r="B278" s="304">
        <f t="shared" ca="1" si="123"/>
        <v>9.3999999999999844</v>
      </c>
      <c r="D278" s="306">
        <f t="shared" ca="1" si="124"/>
        <v>-0.89225980637598501</v>
      </c>
      <c r="E278" s="307">
        <f t="shared" ca="1" si="125"/>
        <v>-12.143027239768319</v>
      </c>
      <c r="F278" s="304">
        <f t="shared" ca="1" si="126"/>
        <v>12.175764374684224</v>
      </c>
      <c r="G278" s="306">
        <f t="shared" ca="1" si="127"/>
        <v>26.188301581977019</v>
      </c>
      <c r="H278" s="307">
        <f t="shared" ca="1" si="128"/>
        <v>67.494594795843952</v>
      </c>
      <c r="I278" s="304">
        <f t="shared" ca="1" si="129"/>
        <v>72.39715095501856</v>
      </c>
      <c r="J278" s="306">
        <f t="shared" ca="1" si="130"/>
        <v>288.28606678665346</v>
      </c>
      <c r="K278" s="307">
        <f t="shared" ca="1" si="131"/>
        <v>1188.4883630768104</v>
      </c>
      <c r="L278" s="304">
        <f t="shared" ca="1" si="116"/>
        <v>1222.9527568439898</v>
      </c>
      <c r="M278" s="306">
        <f t="shared" ca="1" si="132"/>
        <v>1.2006722521958231</v>
      </c>
      <c r="N278" s="304">
        <f t="shared" ca="1" si="133"/>
        <v>68.793452629287856</v>
      </c>
      <c r="P278" s="310">
        <f t="shared" ca="1" si="134"/>
        <v>23</v>
      </c>
      <c r="Q278" s="304">
        <f t="shared" ca="1" si="135"/>
        <v>0</v>
      </c>
      <c r="R278" s="306">
        <f t="shared" ca="1" si="136"/>
        <v>0</v>
      </c>
      <c r="S278" s="307">
        <f t="shared" ca="1" si="137"/>
        <v>7.4799999999999969</v>
      </c>
      <c r="T278" s="304">
        <f t="shared" ca="1" si="117"/>
        <v>73.37879999999997</v>
      </c>
      <c r="U278" s="311">
        <f t="shared" ca="1" si="118"/>
        <v>0</v>
      </c>
      <c r="V278" s="306">
        <f t="shared" ca="1" si="119"/>
        <v>1.0875764877775662</v>
      </c>
      <c r="W278" s="304">
        <f t="shared" ca="1" si="120"/>
        <v>18.08418374826562</v>
      </c>
      <c r="Y278" s="314" t="str">
        <f t="shared" ca="1" si="138"/>
        <v/>
      </c>
      <c r="Z278" s="315" t="str">
        <f t="shared" ca="1" si="139"/>
        <v/>
      </c>
      <c r="AA278" s="316" t="str">
        <f t="shared" ca="1" si="140"/>
        <v/>
      </c>
      <c r="AC278" s="310" t="e">
        <f t="shared" ca="1" si="141"/>
        <v>#N/A</v>
      </c>
      <c r="AD278" s="323" t="e">
        <f t="shared" ca="1" si="142"/>
        <v>#N/A</v>
      </c>
      <c r="AE278" s="324">
        <f t="shared" ca="1" si="121"/>
        <v>1188.4883630768104</v>
      </c>
      <c r="AG278" s="306">
        <f t="shared" ca="1" si="143"/>
        <v>-11.660588057269184</v>
      </c>
      <c r="AH278" s="304">
        <f t="shared" ca="1" si="144"/>
        <v>-2.4978277890149045</v>
      </c>
    </row>
    <row r="279" spans="1:34" x14ac:dyDescent="0.2">
      <c r="A279" s="347">
        <f t="shared" ca="1" si="122"/>
        <v>0.1</v>
      </c>
      <c r="B279" s="304">
        <f t="shared" ca="1" si="123"/>
        <v>9.499999999999984</v>
      </c>
      <c r="D279" s="306">
        <f t="shared" ca="1" si="124"/>
        <v>-0.87454703372856557</v>
      </c>
      <c r="E279" s="307">
        <f t="shared" ca="1" si="125"/>
        <v>-12.063952876120831</v>
      </c>
      <c r="F279" s="304">
        <f t="shared" ca="1" si="126"/>
        <v>12.095610423267917</v>
      </c>
      <c r="G279" s="306">
        <f t="shared" ca="1" si="127"/>
        <v>26.100846878604163</v>
      </c>
      <c r="H279" s="307">
        <f t="shared" ca="1" si="128"/>
        <v>66.28819950823187</v>
      </c>
      <c r="I279" s="304">
        <f t="shared" ca="1" si="129"/>
        <v>71.241698476548777</v>
      </c>
      <c r="J279" s="306">
        <f t="shared" ca="1" si="130"/>
        <v>290.90052420968254</v>
      </c>
      <c r="K279" s="307">
        <f t="shared" ca="1" si="131"/>
        <v>1195.1775027920141</v>
      </c>
      <c r="L279" s="304">
        <f t="shared" ca="1" si="116"/>
        <v>1230.0700704291701</v>
      </c>
      <c r="M279" s="306">
        <f t="shared" ca="1" si="132"/>
        <v>1.1956911850500924</v>
      </c>
      <c r="N279" s="304">
        <f t="shared" ca="1" si="133"/>
        <v>68.508058504366204</v>
      </c>
      <c r="P279" s="310">
        <f t="shared" ca="1" si="134"/>
        <v>23</v>
      </c>
      <c r="Q279" s="304">
        <f t="shared" ca="1" si="135"/>
        <v>0</v>
      </c>
      <c r="R279" s="306">
        <f t="shared" ca="1" si="136"/>
        <v>0</v>
      </c>
      <c r="S279" s="307">
        <f t="shared" ca="1" si="137"/>
        <v>7.4799999999999969</v>
      </c>
      <c r="T279" s="304">
        <f t="shared" ca="1" si="117"/>
        <v>73.37879999999997</v>
      </c>
      <c r="U279" s="311">
        <f t="shared" ca="1" si="118"/>
        <v>0</v>
      </c>
      <c r="V279" s="306">
        <f t="shared" ca="1" si="119"/>
        <v>1.0868466449995662</v>
      </c>
      <c r="W279" s="304">
        <f t="shared" ca="1" si="120"/>
        <v>17.499794491199854</v>
      </c>
      <c r="Y279" s="314" t="str">
        <f t="shared" ca="1" si="138"/>
        <v/>
      </c>
      <c r="Z279" s="315" t="str">
        <f t="shared" ca="1" si="139"/>
        <v/>
      </c>
      <c r="AA279" s="316" t="str">
        <f t="shared" ca="1" si="140"/>
        <v/>
      </c>
      <c r="AC279" s="310" t="e">
        <f t="shared" ca="1" si="141"/>
        <v>#N/A</v>
      </c>
      <c r="AD279" s="323" t="e">
        <f t="shared" ca="1" si="142"/>
        <v>#N/A</v>
      </c>
      <c r="AE279" s="324">
        <f t="shared" ca="1" si="121"/>
        <v>1195.1775027920141</v>
      </c>
      <c r="AG279" s="306">
        <f t="shared" ca="1" si="143"/>
        <v>-11.563362665983574</v>
      </c>
      <c r="AH279" s="304">
        <f t="shared" ca="1" si="144"/>
        <v>-2.4176716240996829</v>
      </c>
    </row>
    <row r="280" spans="1:34" x14ac:dyDescent="0.2">
      <c r="A280" s="347">
        <f t="shared" ca="1" si="122"/>
        <v>0.1</v>
      </c>
      <c r="B280" s="304">
        <f t="shared" ca="1" si="123"/>
        <v>9.5999999999999837</v>
      </c>
      <c r="D280" s="306">
        <f t="shared" ca="1" si="124"/>
        <v>-0.85713984587579328</v>
      </c>
      <c r="E280" s="307">
        <f t="shared" ca="1" si="125"/>
        <v>-11.986874082827011</v>
      </c>
      <c r="F280" s="304">
        <f t="shared" ca="1" si="126"/>
        <v>12.017480559291032</v>
      </c>
      <c r="G280" s="306">
        <f t="shared" ca="1" si="127"/>
        <v>26.015132894016585</v>
      </c>
      <c r="H280" s="307">
        <f t="shared" ca="1" si="128"/>
        <v>65.089512099949175</v>
      </c>
      <c r="I280" s="304">
        <f t="shared" ca="1" si="129"/>
        <v>70.095875234586899</v>
      </c>
      <c r="J280" s="306">
        <f t="shared" ca="1" si="130"/>
        <v>293.50632319831357</v>
      </c>
      <c r="K280" s="307">
        <f t="shared" ca="1" si="131"/>
        <v>1201.7463883724231</v>
      </c>
      <c r="L280" s="304">
        <f t="shared" ca="1" si="116"/>
        <v>1237.069255831522</v>
      </c>
      <c r="M280" s="306">
        <f t="shared" ca="1" si="132"/>
        <v>1.1905637663680011</v>
      </c>
      <c r="N280" s="304">
        <f t="shared" ca="1" si="133"/>
        <v>68.21427905408585</v>
      </c>
      <c r="P280" s="310">
        <f t="shared" ca="1" si="134"/>
        <v>23</v>
      </c>
      <c r="Q280" s="304">
        <f t="shared" ca="1" si="135"/>
        <v>0</v>
      </c>
      <c r="R280" s="306">
        <f t="shared" ca="1" si="136"/>
        <v>0</v>
      </c>
      <c r="S280" s="307">
        <f t="shared" ca="1" si="137"/>
        <v>7.4799999999999969</v>
      </c>
      <c r="T280" s="304">
        <f t="shared" ca="1" si="117"/>
        <v>73.37879999999997</v>
      </c>
      <c r="U280" s="311">
        <f t="shared" ca="1" si="118"/>
        <v>0</v>
      </c>
      <c r="V280" s="306">
        <f t="shared" ca="1" si="119"/>
        <v>1.0861303711694641</v>
      </c>
      <c r="W280" s="304">
        <f t="shared" ca="1" si="120"/>
        <v>16.930236824332955</v>
      </c>
      <c r="Y280" s="314" t="str">
        <f t="shared" ca="1" si="138"/>
        <v/>
      </c>
      <c r="Z280" s="315" t="str">
        <f t="shared" ca="1" si="139"/>
        <v/>
      </c>
      <c r="AA280" s="316" t="str">
        <f t="shared" ca="1" si="140"/>
        <v/>
      </c>
      <c r="AC280" s="310" t="e">
        <f t="shared" ca="1" si="141"/>
        <v>#N/A</v>
      </c>
      <c r="AD280" s="323" t="e">
        <f t="shared" ca="1" si="142"/>
        <v>#N/A</v>
      </c>
      <c r="AE280" s="324">
        <f t="shared" ca="1" si="121"/>
        <v>1201.7463883724231</v>
      </c>
      <c r="AG280" s="306">
        <f t="shared" ca="1" si="143"/>
        <v>-11.467446650253164</v>
      </c>
      <c r="AH280" s="304">
        <f t="shared" ca="1" si="144"/>
        <v>-2.3395447180748477</v>
      </c>
    </row>
    <row r="281" spans="1:34" x14ac:dyDescent="0.2">
      <c r="A281" s="347">
        <f t="shared" ca="1" si="122"/>
        <v>0.1</v>
      </c>
      <c r="B281" s="304">
        <f t="shared" ca="1" si="123"/>
        <v>9.6999999999999833</v>
      </c>
      <c r="D281" s="306">
        <f t="shared" ca="1" si="124"/>
        <v>-0.84003043508749919</v>
      </c>
      <c r="E281" s="307">
        <f t="shared" ca="1" si="125"/>
        <v>-11.911744834120336</v>
      </c>
      <c r="F281" s="304">
        <f t="shared" ca="1" si="126"/>
        <v>11.941328072080836</v>
      </c>
      <c r="G281" s="306">
        <f t="shared" ca="1" si="127"/>
        <v>25.931129850507833</v>
      </c>
      <c r="H281" s="307">
        <f t="shared" ca="1" si="128"/>
        <v>63.898337616537141</v>
      </c>
      <c r="I281" s="304">
        <f t="shared" ca="1" si="129"/>
        <v>68.959560943214129</v>
      </c>
      <c r="J281" s="306">
        <f t="shared" ca="1" si="130"/>
        <v>296.10363633553976</v>
      </c>
      <c r="K281" s="307">
        <f t="shared" ca="1" si="131"/>
        <v>1208.1957808582474</v>
      </c>
      <c r="L281" s="304">
        <f t="shared" ca="1" si="116"/>
        <v>1243.9511277919241</v>
      </c>
      <c r="M281" s="306">
        <f t="shared" ca="1" si="132"/>
        <v>1.1852840557031106</v>
      </c>
      <c r="N281" s="304">
        <f t="shared" ca="1" si="133"/>
        <v>67.911773915937403</v>
      </c>
      <c r="P281" s="310">
        <f t="shared" ca="1" si="134"/>
        <v>23</v>
      </c>
      <c r="Q281" s="304">
        <f t="shared" ca="1" si="135"/>
        <v>0</v>
      </c>
      <c r="R281" s="306">
        <f t="shared" ca="1" si="136"/>
        <v>0</v>
      </c>
      <c r="S281" s="307">
        <f t="shared" ca="1" si="137"/>
        <v>7.4799999999999969</v>
      </c>
      <c r="T281" s="304">
        <f t="shared" ca="1" si="117"/>
        <v>73.37879999999997</v>
      </c>
      <c r="U281" s="311">
        <f t="shared" ca="1" si="118"/>
        <v>0</v>
      </c>
      <c r="V281" s="306">
        <f t="shared" ca="1" si="119"/>
        <v>1.085427558586838</v>
      </c>
      <c r="W281" s="304">
        <f t="shared" ca="1" si="120"/>
        <v>16.375175718398292</v>
      </c>
      <c r="Y281" s="314" t="str">
        <f t="shared" ca="1" si="138"/>
        <v/>
      </c>
      <c r="Z281" s="315" t="str">
        <f t="shared" ca="1" si="139"/>
        <v/>
      </c>
      <c r="AA281" s="316" t="str">
        <f t="shared" ca="1" si="140"/>
        <v/>
      </c>
      <c r="AC281" s="310" t="e">
        <f t="shared" ca="1" si="141"/>
        <v>#N/A</v>
      </c>
      <c r="AD281" s="323" t="e">
        <f t="shared" ca="1" si="142"/>
        <v>#N/A</v>
      </c>
      <c r="AE281" s="324">
        <f t="shared" ca="1" si="121"/>
        <v>1208.1957808582474</v>
      </c>
      <c r="AG281" s="306">
        <f t="shared" ca="1" si="143"/>
        <v>-11.372754249061066</v>
      </c>
      <c r="AH281" s="304">
        <f t="shared" ca="1" si="144"/>
        <v>-2.2634006449642996</v>
      </c>
    </row>
    <row r="282" spans="1:34" x14ac:dyDescent="0.2">
      <c r="A282" s="347">
        <f t="shared" ca="1" si="122"/>
        <v>0.1</v>
      </c>
      <c r="B282" s="304">
        <f t="shared" ca="1" si="123"/>
        <v>9.7999999999999829</v>
      </c>
      <c r="D282" s="306">
        <f t="shared" ca="1" si="124"/>
        <v>-0.82321130017196964</v>
      </c>
      <c r="E282" s="307">
        <f t="shared" ca="1" si="125"/>
        <v>-11.838520696606164</v>
      </c>
      <c r="F282" s="304">
        <f t="shared" ca="1" si="126"/>
        <v>11.867107867071207</v>
      </c>
      <c r="G282" s="306">
        <f t="shared" ca="1" si="127"/>
        <v>25.848808720490638</v>
      </c>
      <c r="H282" s="307">
        <f t="shared" ca="1" si="128"/>
        <v>62.714485546876524</v>
      </c>
      <c r="I282" s="304">
        <f t="shared" ca="1" si="129"/>
        <v>67.832644130078677</v>
      </c>
      <c r="J282" s="306">
        <f t="shared" ca="1" si="130"/>
        <v>298.69263326408969</v>
      </c>
      <c r="K282" s="307">
        <f t="shared" ca="1" si="131"/>
        <v>1214.5264220164181</v>
      </c>
      <c r="L282" s="304">
        <f t="shared" ca="1" si="116"/>
        <v>1250.7164822381765</v>
      </c>
      <c r="M282" s="306">
        <f t="shared" ca="1" si="132"/>
        <v>1.1798458033809118</v>
      </c>
      <c r="N282" s="304">
        <f t="shared" ca="1" si="133"/>
        <v>67.600185009948206</v>
      </c>
      <c r="P282" s="310">
        <f t="shared" ca="1" si="134"/>
        <v>23</v>
      </c>
      <c r="Q282" s="304">
        <f t="shared" ca="1" si="135"/>
        <v>0</v>
      </c>
      <c r="R282" s="306">
        <f t="shared" ca="1" si="136"/>
        <v>0</v>
      </c>
      <c r="S282" s="307">
        <f t="shared" ca="1" si="137"/>
        <v>7.4799999999999969</v>
      </c>
      <c r="T282" s="304">
        <f t="shared" ca="1" si="117"/>
        <v>73.37879999999997</v>
      </c>
      <c r="U282" s="311">
        <f t="shared" ca="1" si="118"/>
        <v>0</v>
      </c>
      <c r="V282" s="306">
        <f t="shared" ca="1" si="119"/>
        <v>1.0847381023385865</v>
      </c>
      <c r="W282" s="304">
        <f t="shared" ca="1" si="120"/>
        <v>15.834287918253134</v>
      </c>
      <c r="Y282" s="314" t="str">
        <f t="shared" ca="1" si="138"/>
        <v/>
      </c>
      <c r="Z282" s="315" t="str">
        <f t="shared" ca="1" si="139"/>
        <v/>
      </c>
      <c r="AA282" s="316" t="str">
        <f t="shared" ca="1" si="140"/>
        <v/>
      </c>
      <c r="AC282" s="310" t="e">
        <f t="shared" ca="1" si="141"/>
        <v>#N/A</v>
      </c>
      <c r="AD282" s="323" t="e">
        <f t="shared" ca="1" si="142"/>
        <v>#N/A</v>
      </c>
      <c r="AE282" s="324">
        <f t="shared" ca="1" si="121"/>
        <v>1214.5264220164181</v>
      </c>
      <c r="AG282" s="306">
        <f t="shared" ca="1" si="143"/>
        <v>-11.279198719257609</v>
      </c>
      <c r="AH282" s="304">
        <f t="shared" ca="1" si="144"/>
        <v>-2.1891946147591308</v>
      </c>
    </row>
    <row r="283" spans="1:34" x14ac:dyDescent="0.2">
      <c r="A283" s="347">
        <f t="shared" ca="1" si="122"/>
        <v>0.1</v>
      </c>
      <c r="B283" s="304">
        <f t="shared" ca="1" si="123"/>
        <v>9.8999999999999826</v>
      </c>
      <c r="D283" s="306">
        <f t="shared" ca="1" si="124"/>
        <v>-0.80667523859629564</v>
      </c>
      <c r="E283" s="307">
        <f t="shared" ca="1" si="125"/>
        <v>-11.767158766541808</v>
      </c>
      <c r="F283" s="304">
        <f t="shared" ca="1" si="126"/>
        <v>11.794776402186102</v>
      </c>
      <c r="G283" s="306">
        <f t="shared" ca="1" si="127"/>
        <v>25.768141196631007</v>
      </c>
      <c r="H283" s="307">
        <f t="shared" ca="1" si="128"/>
        <v>61.537769670222346</v>
      </c>
      <c r="I283" s="304">
        <f t="shared" ca="1" si="129"/>
        <v>66.715022271710666</v>
      </c>
      <c r="J283" s="306">
        <f t="shared" ca="1" si="130"/>
        <v>301.27348075994576</v>
      </c>
      <c r="K283" s="307">
        <f t="shared" ca="1" si="131"/>
        <v>1220.739034777273</v>
      </c>
      <c r="L283" s="304">
        <f t="shared" ca="1" si="116"/>
        <v>1257.366096742775</v>
      </c>
      <c r="M283" s="306">
        <f t="shared" ca="1" si="132"/>
        <v>1.1742424316959181</v>
      </c>
      <c r="N283" s="304">
        <f t="shared" ca="1" si="133"/>
        <v>67.279135461354954</v>
      </c>
      <c r="P283" s="310">
        <f t="shared" ca="1" si="134"/>
        <v>23</v>
      </c>
      <c r="Q283" s="304">
        <f t="shared" ca="1" si="135"/>
        <v>0</v>
      </c>
      <c r="R283" s="306">
        <f t="shared" ca="1" si="136"/>
        <v>0</v>
      </c>
      <c r="S283" s="307">
        <f t="shared" ca="1" si="137"/>
        <v>7.4799999999999969</v>
      </c>
      <c r="T283" s="304">
        <f t="shared" ca="1" si="117"/>
        <v>73.37879999999997</v>
      </c>
      <c r="U283" s="311">
        <f t="shared" ca="1" si="118"/>
        <v>0</v>
      </c>
      <c r="V283" s="306">
        <f t="shared" ca="1" si="119"/>
        <v>1.0840619002334049</v>
      </c>
      <c r="W283" s="304">
        <f t="shared" ca="1" si="120"/>
        <v>15.30726150150603</v>
      </c>
      <c r="Y283" s="314" t="str">
        <f t="shared" ca="1" si="138"/>
        <v/>
      </c>
      <c r="Z283" s="315" t="str">
        <f t="shared" ca="1" si="139"/>
        <v/>
      </c>
      <c r="AA283" s="316" t="str">
        <f t="shared" ca="1" si="140"/>
        <v/>
      </c>
      <c r="AC283" s="310" t="e">
        <f t="shared" ca="1" si="141"/>
        <v>#N/A</v>
      </c>
      <c r="AD283" s="323" t="e">
        <f t="shared" ca="1" si="142"/>
        <v>#N/A</v>
      </c>
      <c r="AE283" s="324">
        <f t="shared" ca="1" si="121"/>
        <v>1220.739034777273</v>
      </c>
      <c r="AG283" s="306">
        <f t="shared" ca="1" si="143"/>
        <v>-11.186692072315054</v>
      </c>
      <c r="AH283" s="304">
        <f t="shared" ca="1" si="144"/>
        <v>-2.1168834115311683</v>
      </c>
    </row>
    <row r="284" spans="1:34" x14ac:dyDescent="0.2">
      <c r="A284" s="347">
        <f t="shared" ca="1" si="122"/>
        <v>0.1</v>
      </c>
      <c r="B284" s="304">
        <f t="shared" ca="1" si="123"/>
        <v>9.9999999999999822</v>
      </c>
      <c r="D284" s="306">
        <f t="shared" ca="1" si="124"/>
        <v>-0.79041533930823271</v>
      </c>
      <c r="E284" s="307">
        <f t="shared" ca="1" si="125"/>
        <v>-11.697617609783977</v>
      </c>
      <c r="F284" s="304">
        <f t="shared" ca="1" si="126"/>
        <v>11.72429162693175</v>
      </c>
      <c r="G284" s="306">
        <f t="shared" ca="1" si="127"/>
        <v>25.689099662700183</v>
      </c>
      <c r="H284" s="307">
        <f t="shared" ca="1" si="128"/>
        <v>60.36800790924395</v>
      </c>
      <c r="I284" s="304">
        <f t="shared" ca="1" si="129"/>
        <v>65.606601957506399</v>
      </c>
      <c r="J284" s="306">
        <f t="shared" ca="1" si="130"/>
        <v>303.84634280291232</v>
      </c>
      <c r="K284" s="307">
        <f t="shared" ca="1" si="131"/>
        <v>1226.8343236562464</v>
      </c>
      <c r="L284" s="304">
        <f t="shared" ca="1" si="116"/>
        <v>1263.9007309657609</v>
      </c>
      <c r="M284" s="306">
        <f t="shared" ca="1" si="132"/>
        <v>1.1684670148734788</v>
      </c>
      <c r="N284" s="304">
        <f t="shared" ca="1" si="133"/>
        <v>66.948228452500331</v>
      </c>
      <c r="P284" s="310">
        <f t="shared" ca="1" si="134"/>
        <v>23</v>
      </c>
      <c r="Q284" s="304">
        <f t="shared" ca="1" si="135"/>
        <v>0</v>
      </c>
      <c r="R284" s="306">
        <f t="shared" ca="1" si="136"/>
        <v>0</v>
      </c>
      <c r="S284" s="307">
        <f t="shared" ca="1" si="137"/>
        <v>7.4799999999999969</v>
      </c>
      <c r="T284" s="304">
        <f t="shared" ca="1" si="117"/>
        <v>73.37879999999997</v>
      </c>
      <c r="U284" s="311">
        <f t="shared" ca="1" si="118"/>
        <v>0</v>
      </c>
      <c r="V284" s="306">
        <f t="shared" ca="1" si="119"/>
        <v>1.0833988527385805</v>
      </c>
      <c r="W284" s="304">
        <f t="shared" ca="1" si="120"/>
        <v>14.793795457567079</v>
      </c>
      <c r="Y284" s="314" t="str">
        <f t="shared" ca="1" si="138"/>
        <v/>
      </c>
      <c r="Z284" s="315" t="str">
        <f t="shared" ca="1" si="139"/>
        <v/>
      </c>
      <c r="AA284" s="316" t="str">
        <f t="shared" ca="1" si="140"/>
        <v/>
      </c>
      <c r="AC284" s="310">
        <f t="shared" ca="1" si="141"/>
        <v>9.9999999999999822</v>
      </c>
      <c r="AD284" s="323">
        <f t="shared" ca="1" si="142"/>
        <v>303.84634280291232</v>
      </c>
      <c r="AE284" s="324">
        <f t="shared" ca="1" si="121"/>
        <v>1226.8343236562464</v>
      </c>
      <c r="AG284" s="306">
        <f t="shared" ca="1" si="143"/>
        <v>-11.095144796831988</v>
      </c>
      <c r="AH284" s="304">
        <f t="shared" ca="1" si="144"/>
        <v>-2.0464253344259409</v>
      </c>
    </row>
    <row r="285" spans="1:34" x14ac:dyDescent="0.2">
      <c r="A285" s="347">
        <f t="shared" ca="1" si="122"/>
        <v>0.1</v>
      </c>
      <c r="B285" s="304">
        <f t="shared" ca="1" si="123"/>
        <v>10.099999999999982</v>
      </c>
      <c r="D285" s="306">
        <f t="shared" ca="1" si="124"/>
        <v>-0.77442497625287254</v>
      </c>
      <c r="E285" s="307">
        <f t="shared" ca="1" si="125"/>
        <v>-11.629857204237867</v>
      </c>
      <c r="F285" s="304">
        <f t="shared" ca="1" si="126"/>
        <v>11.655612924029679</v>
      </c>
      <c r="G285" s="306">
        <f t="shared" ca="1" si="127"/>
        <v>25.611657165074895</v>
      </c>
      <c r="H285" s="307">
        <f t="shared" ca="1" si="128"/>
        <v>59.205022188820166</v>
      </c>
      <c r="I285" s="304">
        <f t="shared" ca="1" si="129"/>
        <v>64.507299084057308</v>
      </c>
      <c r="J285" s="306">
        <f t="shared" ca="1" si="130"/>
        <v>306.41138064430106</v>
      </c>
      <c r="K285" s="307">
        <f t="shared" ca="1" si="131"/>
        <v>1232.8129751611496</v>
      </c>
      <c r="L285" s="304">
        <f t="shared" ca="1" si="116"/>
        <v>1270.3211270832396</v>
      </c>
      <c r="M285" s="306">
        <f t="shared" ca="1" si="132"/>
        <v>1.1625122577197611</v>
      </c>
      <c r="N285" s="304">
        <f t="shared" ca="1" si="133"/>
        <v>66.607045999566964</v>
      </c>
      <c r="P285" s="310">
        <f t="shared" ca="1" si="134"/>
        <v>23</v>
      </c>
      <c r="Q285" s="304">
        <f t="shared" ca="1" si="135"/>
        <v>0</v>
      </c>
      <c r="R285" s="306">
        <f t="shared" ca="1" si="136"/>
        <v>0</v>
      </c>
      <c r="S285" s="307">
        <f t="shared" ca="1" si="137"/>
        <v>7.4799999999999969</v>
      </c>
      <c r="T285" s="304">
        <f t="shared" ca="1" si="117"/>
        <v>73.37879999999997</v>
      </c>
      <c r="U285" s="311">
        <f t="shared" ca="1" si="118"/>
        <v>0</v>
      </c>
      <c r="V285" s="306">
        <f t="shared" ca="1" si="119"/>
        <v>1.0827488629190034</v>
      </c>
      <c r="W285" s="304">
        <f t="shared" ca="1" si="120"/>
        <v>14.293599286070503</v>
      </c>
      <c r="Y285" s="314" t="str">
        <f t="shared" ca="1" si="138"/>
        <v/>
      </c>
      <c r="Z285" s="315" t="str">
        <f t="shared" ca="1" si="139"/>
        <v/>
      </c>
      <c r="AA285" s="316" t="str">
        <f t="shared" ca="1" si="140"/>
        <v/>
      </c>
      <c r="AC285" s="310" t="e">
        <f t="shared" ca="1" si="141"/>
        <v>#N/A</v>
      </c>
      <c r="AD285" s="323" t="e">
        <f t="shared" ca="1" si="142"/>
        <v>#N/A</v>
      </c>
      <c r="AE285" s="324">
        <f t="shared" ca="1" si="121"/>
        <v>1232.8129751611496</v>
      </c>
      <c r="AG285" s="306">
        <f t="shared" ca="1" si="143"/>
        <v>-11.004465565106891</v>
      </c>
      <c r="AH285" s="304">
        <f t="shared" ca="1" si="144"/>
        <v>-1.9777801413859739</v>
      </c>
    </row>
    <row r="286" spans="1:34" x14ac:dyDescent="0.2">
      <c r="A286" s="347">
        <f t="shared" ca="1" si="122"/>
        <v>0.1</v>
      </c>
      <c r="B286" s="304">
        <f t="shared" ca="1" si="123"/>
        <v>10.199999999999982</v>
      </c>
      <c r="D286" s="306">
        <f t="shared" ca="1" si="124"/>
        <v>-0.75869780258055464</v>
      </c>
      <c r="E286" s="307">
        <f t="shared" ca="1" si="125"/>
        <v>-11.56383888464835</v>
      </c>
      <c r="F286" s="304">
        <f t="shared" ca="1" si="126"/>
        <v>11.588701053428972</v>
      </c>
      <c r="G286" s="306">
        <f t="shared" ca="1" si="127"/>
        <v>25.535787384816839</v>
      </c>
      <c r="H286" s="307">
        <f t="shared" ca="1" si="128"/>
        <v>58.048638300355329</v>
      </c>
      <c r="I286" s="304">
        <f t="shared" ca="1" si="129"/>
        <v>63.417039081685694</v>
      </c>
      <c r="J286" s="306">
        <f t="shared" ca="1" si="130"/>
        <v>308.96875287179563</v>
      </c>
      <c r="K286" s="307">
        <f t="shared" ca="1" si="131"/>
        <v>1238.6756581856084</v>
      </c>
      <c r="L286" s="304">
        <f t="shared" ca="1" si="116"/>
        <v>1276.6280102021508</v>
      </c>
      <c r="M286" s="306">
        <f t="shared" ca="1" si="132"/>
        <v>1.1563704728808939</v>
      </c>
      <c r="N286" s="304">
        <f t="shared" ca="1" si="133"/>
        <v>66.255147649622444</v>
      </c>
      <c r="P286" s="310">
        <f t="shared" ca="1" si="134"/>
        <v>23</v>
      </c>
      <c r="Q286" s="304">
        <f t="shared" ca="1" si="135"/>
        <v>0</v>
      </c>
      <c r="R286" s="306">
        <f t="shared" ca="1" si="136"/>
        <v>0</v>
      </c>
      <c r="S286" s="307">
        <f t="shared" ca="1" si="137"/>
        <v>7.4799999999999969</v>
      </c>
      <c r="T286" s="304">
        <f t="shared" ca="1" si="117"/>
        <v>73.37879999999997</v>
      </c>
      <c r="U286" s="311">
        <f t="shared" ca="1" si="118"/>
        <v>0</v>
      </c>
      <c r="V286" s="306">
        <f t="shared" ca="1" si="119"/>
        <v>1.0821118363783142</v>
      </c>
      <c r="W286" s="304">
        <f t="shared" ca="1" si="120"/>
        <v>13.806392613679348</v>
      </c>
      <c r="Y286" s="314" t="str">
        <f t="shared" ca="1" si="138"/>
        <v/>
      </c>
      <c r="Z286" s="315" t="str">
        <f t="shared" ca="1" si="139"/>
        <v/>
      </c>
      <c r="AA286" s="316" t="str">
        <f t="shared" ca="1" si="140"/>
        <v/>
      </c>
      <c r="AC286" s="310" t="e">
        <f t="shared" ca="1" si="141"/>
        <v>#N/A</v>
      </c>
      <c r="AD286" s="323" t="e">
        <f t="shared" ca="1" si="142"/>
        <v>#N/A</v>
      </c>
      <c r="AE286" s="324">
        <f t="shared" ca="1" si="121"/>
        <v>1238.6756581856084</v>
      </c>
      <c r="AG286" s="306">
        <f t="shared" ca="1" si="143"/>
        <v>-10.914560921977019</v>
      </c>
      <c r="AH286" s="304">
        <f t="shared" ca="1" si="144"/>
        <v>-1.9109089954639717</v>
      </c>
    </row>
    <row r="287" spans="1:34" x14ac:dyDescent="0.2">
      <c r="A287" s="347">
        <f t="shared" ca="1" si="122"/>
        <v>0.1</v>
      </c>
      <c r="B287" s="304">
        <f t="shared" ca="1" si="123"/>
        <v>10.299999999999981</v>
      </c>
      <c r="D287" s="306">
        <f t="shared" ca="1" si="124"/>
        <v>-0.74322774554560078</v>
      </c>
      <c r="E287" s="307">
        <f t="shared" ca="1" si="125"/>
        <v>-11.499525289579182</v>
      </c>
      <c r="F287" s="304">
        <f t="shared" ca="1" si="126"/>
        <v>11.52351809854178</v>
      </c>
      <c r="G287" s="306">
        <f t="shared" ca="1" si="127"/>
        <v>25.461464610262279</v>
      </c>
      <c r="H287" s="307">
        <f t="shared" ca="1" si="128"/>
        <v>56.89868577139741</v>
      </c>
      <c r="I287" s="304">
        <f t="shared" ca="1" si="129"/>
        <v>62.335757175251032</v>
      </c>
      <c r="J287" s="306">
        <f t="shared" ca="1" si="130"/>
        <v>311.51861547154959</v>
      </c>
      <c r="K287" s="307">
        <f t="shared" ca="1" si="131"/>
        <v>1244.4230243891961</v>
      </c>
      <c r="L287" s="304">
        <f t="shared" ca="1" si="116"/>
        <v>1282.8220887618302</v>
      </c>
      <c r="M287" s="306">
        <f t="shared" ca="1" si="132"/>
        <v>1.1500335566303885</v>
      </c>
      <c r="N287" s="304">
        <f t="shared" ca="1" si="133"/>
        <v>65.892069093340609</v>
      </c>
      <c r="P287" s="310">
        <f t="shared" ca="1" si="134"/>
        <v>23</v>
      </c>
      <c r="Q287" s="304">
        <f t="shared" ca="1" si="135"/>
        <v>0</v>
      </c>
      <c r="R287" s="306">
        <f t="shared" ca="1" si="136"/>
        <v>0</v>
      </c>
      <c r="S287" s="307">
        <f t="shared" ca="1" si="137"/>
        <v>7.4799999999999969</v>
      </c>
      <c r="T287" s="304">
        <f t="shared" ca="1" si="117"/>
        <v>73.37879999999997</v>
      </c>
      <c r="U287" s="311">
        <f t="shared" ca="1" si="118"/>
        <v>0</v>
      </c>
      <c r="V287" s="306">
        <f t="shared" ca="1" si="119"/>
        <v>1.081487681202103</v>
      </c>
      <c r="W287" s="304">
        <f t="shared" ca="1" si="120"/>
        <v>13.331904828338754</v>
      </c>
      <c r="Y287" s="314" t="str">
        <f t="shared" ca="1" si="138"/>
        <v/>
      </c>
      <c r="Z287" s="315" t="str">
        <f t="shared" ca="1" si="139"/>
        <v/>
      </c>
      <c r="AA287" s="316" t="str">
        <f t="shared" ca="1" si="140"/>
        <v/>
      </c>
      <c r="AC287" s="310" t="e">
        <f t="shared" ca="1" si="141"/>
        <v>#N/A</v>
      </c>
      <c r="AD287" s="323" t="e">
        <f t="shared" ca="1" si="142"/>
        <v>#N/A</v>
      </c>
      <c r="AE287" s="324">
        <f t="shared" ca="1" si="121"/>
        <v>1244.4230243891961</v>
      </c>
      <c r="AG287" s="306">
        <f t="shared" ca="1" si="143"/>
        <v>-10.825334953986813</v>
      </c>
      <c r="AH287" s="304">
        <f t="shared" ca="1" si="144"/>
        <v>-1.8457744135934966</v>
      </c>
    </row>
    <row r="288" spans="1:34" x14ac:dyDescent="0.2">
      <c r="A288" s="347">
        <f t="shared" ca="1" si="122"/>
        <v>0.1</v>
      </c>
      <c r="B288" s="304">
        <f t="shared" ca="1" si="123"/>
        <v>10.399999999999981</v>
      </c>
      <c r="D288" s="306">
        <f t="shared" ca="1" si="124"/>
        <v>-0.7280090020986919</v>
      </c>
      <c r="E288" s="307">
        <f t="shared" ca="1" si="125"/>
        <v>-11.436880310430633</v>
      </c>
      <c r="F288" s="304">
        <f t="shared" ca="1" si="126"/>
        <v>11.460027414550657</v>
      </c>
      <c r="G288" s="306">
        <f t="shared" ca="1" si="127"/>
        <v>25.388663710052409</v>
      </c>
      <c r="H288" s="307">
        <f t="shared" ca="1" si="128"/>
        <v>55.754997740354348</v>
      </c>
      <c r="I288" s="304">
        <f t="shared" ca="1" si="129"/>
        <v>61.26339868150518</v>
      </c>
      <c r="J288" s="306">
        <f t="shared" ca="1" si="130"/>
        <v>314.06112188756532</v>
      </c>
      <c r="K288" s="307">
        <f t="shared" ca="1" si="131"/>
        <v>1250.0557085647838</v>
      </c>
      <c r="L288" s="304">
        <f t="shared" ca="1" si="116"/>
        <v>1288.9040549228946</v>
      </c>
      <c r="M288" s="306">
        <f t="shared" ca="1" si="132"/>
        <v>1.1434929631028525</v>
      </c>
      <c r="N288" s="304">
        <f t="shared" ca="1" si="133"/>
        <v>65.517320688702213</v>
      </c>
      <c r="P288" s="310">
        <f t="shared" ca="1" si="134"/>
        <v>23</v>
      </c>
      <c r="Q288" s="304">
        <f t="shared" ca="1" si="135"/>
        <v>0</v>
      </c>
      <c r="R288" s="306">
        <f t="shared" ca="1" si="136"/>
        <v>0</v>
      </c>
      <c r="S288" s="307">
        <f t="shared" ca="1" si="137"/>
        <v>7.4799999999999969</v>
      </c>
      <c r="T288" s="304">
        <f t="shared" ca="1" si="117"/>
        <v>73.37879999999997</v>
      </c>
      <c r="U288" s="311">
        <f t="shared" ca="1" si="118"/>
        <v>0</v>
      </c>
      <c r="V288" s="306">
        <f t="shared" ca="1" si="119"/>
        <v>1.0808763079030737</v>
      </c>
      <c r="W288" s="304">
        <f t="shared" ca="1" si="120"/>
        <v>12.86987473009675</v>
      </c>
      <c r="Y288" s="314" t="str">
        <f t="shared" ca="1" si="138"/>
        <v/>
      </c>
      <c r="Z288" s="315" t="str">
        <f t="shared" ca="1" si="139"/>
        <v/>
      </c>
      <c r="AA288" s="316" t="str">
        <f t="shared" ca="1" si="140"/>
        <v/>
      </c>
      <c r="AC288" s="310" t="e">
        <f t="shared" ca="1" si="141"/>
        <v>#N/A</v>
      </c>
      <c r="AD288" s="323" t="e">
        <f t="shared" ca="1" si="142"/>
        <v>#N/A</v>
      </c>
      <c r="AE288" s="324">
        <f t="shared" ca="1" si="121"/>
        <v>1250.0557085647838</v>
      </c>
      <c r="AG288" s="306">
        <f t="shared" ca="1" si="143"/>
        <v>-10.736688936809525</v>
      </c>
      <c r="AH288" s="304">
        <f t="shared" ca="1" si="144"/>
        <v>-1.7823402176923475</v>
      </c>
    </row>
    <row r="289" spans="1:34" x14ac:dyDescent="0.2">
      <c r="A289" s="347">
        <f t="shared" ca="1" si="122"/>
        <v>0.1</v>
      </c>
      <c r="B289" s="304">
        <f t="shared" ca="1" si="123"/>
        <v>10.49999999999998</v>
      </c>
      <c r="D289" s="306">
        <f t="shared" ca="1" si="124"/>
        <v>-0.71303603517899095</v>
      </c>
      <c r="E289" s="307">
        <f t="shared" ca="1" si="125"/>
        <v>-11.375869042349603</v>
      </c>
      <c r="F289" s="304">
        <f t="shared" ca="1" si="126"/>
        <v>11.398193578640075</v>
      </c>
      <c r="G289" s="306">
        <f t="shared" ca="1" si="127"/>
        <v>25.317360106534512</v>
      </c>
      <c r="H289" s="307">
        <f t="shared" ca="1" si="128"/>
        <v>54.61741083611939</v>
      </c>
      <c r="I289" s="304">
        <f t="shared" ca="1" si="129"/>
        <v>60.199919345505748</v>
      </c>
      <c r="J289" s="306">
        <f t="shared" ca="1" si="130"/>
        <v>316.59642307839465</v>
      </c>
      <c r="K289" s="307">
        <f t="shared" ca="1" si="131"/>
        <v>1255.5743289936074</v>
      </c>
      <c r="L289" s="304">
        <f t="shared" ca="1" si="116"/>
        <v>1294.8745849439556</v>
      </c>
      <c r="M289" s="306">
        <f t="shared" ca="1" si="132"/>
        <v>1.136739676891974</v>
      </c>
      <c r="N289" s="304">
        <f t="shared" ca="1" si="133"/>
        <v>65.130385890974978</v>
      </c>
      <c r="P289" s="310">
        <f t="shared" ca="1" si="134"/>
        <v>23</v>
      </c>
      <c r="Q289" s="304">
        <f t="shared" ca="1" si="135"/>
        <v>0</v>
      </c>
      <c r="R289" s="306">
        <f t="shared" ca="1" si="136"/>
        <v>0</v>
      </c>
      <c r="S289" s="307">
        <f t="shared" ca="1" si="137"/>
        <v>7.4799999999999969</v>
      </c>
      <c r="T289" s="304">
        <f t="shared" ca="1" si="117"/>
        <v>73.37879999999997</v>
      </c>
      <c r="U289" s="311">
        <f t="shared" ca="1" si="118"/>
        <v>0</v>
      </c>
      <c r="V289" s="306">
        <f t="shared" ca="1" si="119"/>
        <v>1.0802776293681082</v>
      </c>
      <c r="W289" s="304">
        <f t="shared" ca="1" si="120"/>
        <v>12.420050197661283</v>
      </c>
      <c r="Y289" s="314" t="str">
        <f t="shared" ca="1" si="138"/>
        <v/>
      </c>
      <c r="Z289" s="315" t="str">
        <f t="shared" ca="1" si="139"/>
        <v/>
      </c>
      <c r="AA289" s="316" t="str">
        <f t="shared" ca="1" si="140"/>
        <v/>
      </c>
      <c r="AC289" s="310" t="e">
        <f t="shared" ca="1" si="141"/>
        <v>#N/A</v>
      </c>
      <c r="AD289" s="323" t="e">
        <f t="shared" ca="1" si="142"/>
        <v>#N/A</v>
      </c>
      <c r="AE289" s="324">
        <f t="shared" ca="1" si="121"/>
        <v>1255.5743289936074</v>
      </c>
      <c r="AG289" s="306">
        <f t="shared" ca="1" si="143"/>
        <v>-10.64852095869797</v>
      </c>
      <c r="AH289" s="304">
        <f t="shared" ca="1" si="144"/>
        <v>-1.7205714879808498</v>
      </c>
    </row>
    <row r="290" spans="1:34" x14ac:dyDescent="0.2">
      <c r="A290" s="347">
        <f t="shared" ca="1" si="122"/>
        <v>0.1</v>
      </c>
      <c r="B290" s="304">
        <f t="shared" ca="1" si="123"/>
        <v>10.59999999999998</v>
      </c>
      <c r="D290" s="306">
        <f t="shared" ca="1" si="124"/>
        <v>-0.69830357071550597</v>
      </c>
      <c r="E290" s="307">
        <f t="shared" ca="1" si="125"/>
        <v>-11.316457736889163</v>
      </c>
      <c r="F290" s="304">
        <f t="shared" ca="1" si="126"/>
        <v>11.337982342007445</v>
      </c>
      <c r="G290" s="306">
        <f t="shared" ca="1" si="127"/>
        <v>25.247529749462963</v>
      </c>
      <c r="H290" s="307">
        <f t="shared" ca="1" si="128"/>
        <v>53.485765062430474</v>
      </c>
      <c r="I290" s="304">
        <f t="shared" ca="1" si="129"/>
        <v>59.145285718842594</v>
      </c>
      <c r="J290" s="306">
        <f t="shared" ca="1" si="130"/>
        <v>319.12466757119455</v>
      </c>
      <c r="K290" s="307">
        <f t="shared" ca="1" si="131"/>
        <v>1260.9794877885349</v>
      </c>
      <c r="L290" s="304">
        <f t="shared" ca="1" si="116"/>
        <v>1300.7343395466505</v>
      </c>
      <c r="M290" s="306">
        <f t="shared" ca="1" si="132"/>
        <v>1.1297641839320838</v>
      </c>
      <c r="N290" s="304">
        <f t="shared" ca="1" si="133"/>
        <v>64.730719584350055</v>
      </c>
      <c r="P290" s="310">
        <f t="shared" ca="1" si="134"/>
        <v>23</v>
      </c>
      <c r="Q290" s="304">
        <f t="shared" ca="1" si="135"/>
        <v>0</v>
      </c>
      <c r="R290" s="306">
        <f t="shared" ca="1" si="136"/>
        <v>0</v>
      </c>
      <c r="S290" s="307">
        <f t="shared" ca="1" si="137"/>
        <v>7.4799999999999969</v>
      </c>
      <c r="T290" s="304">
        <f t="shared" ca="1" si="117"/>
        <v>73.37879999999997</v>
      </c>
      <c r="U290" s="311">
        <f t="shared" ca="1" si="118"/>
        <v>0</v>
      </c>
      <c r="V290" s="306">
        <f t="shared" ca="1" si="119"/>
        <v>1.0796915608071425</v>
      </c>
      <c r="W290" s="304">
        <f t="shared" ca="1" si="120"/>
        <v>11.982187869907774</v>
      </c>
      <c r="Y290" s="314" t="str">
        <f t="shared" ca="1" si="138"/>
        <v/>
      </c>
      <c r="Z290" s="315" t="str">
        <f t="shared" ca="1" si="139"/>
        <v/>
      </c>
      <c r="AA290" s="316" t="str">
        <f t="shared" ca="1" si="140"/>
        <v/>
      </c>
      <c r="AC290" s="310" t="e">
        <f t="shared" ca="1" si="141"/>
        <v>#N/A</v>
      </c>
      <c r="AD290" s="323" t="e">
        <f t="shared" ca="1" si="142"/>
        <v>#N/A</v>
      </c>
      <c r="AE290" s="324">
        <f t="shared" ca="1" si="121"/>
        <v>1260.9794877885349</v>
      </c>
      <c r="AG290" s="306">
        <f t="shared" ca="1" si="143"/>
        <v>-10.560725517586649</v>
      </c>
      <c r="AH290" s="304">
        <f t="shared" ca="1" si="144"/>
        <v>-1.6604345184039155</v>
      </c>
    </row>
    <row r="291" spans="1:34" x14ac:dyDescent="0.2">
      <c r="A291" s="347">
        <f t="shared" ca="1" si="122"/>
        <v>0.1</v>
      </c>
      <c r="B291" s="304">
        <f t="shared" ca="1" si="123"/>
        <v>10.69999999999998</v>
      </c>
      <c r="D291" s="306">
        <f t="shared" ca="1" si="124"/>
        <v>-0.68380659535064081</v>
      </c>
      <c r="E291" s="307">
        <f t="shared" ca="1" si="125"/>
        <v>-11.258613756276208</v>
      </c>
      <c r="F291" s="304">
        <f t="shared" ca="1" si="126"/>
        <v>11.279360583510792</v>
      </c>
      <c r="G291" s="306">
        <f t="shared" ca="1" si="127"/>
        <v>25.1791490899279</v>
      </c>
      <c r="H291" s="307">
        <f t="shared" ca="1" si="128"/>
        <v>52.359903686802852</v>
      </c>
      <c r="I291" s="304">
        <f t="shared" ca="1" si="129"/>
        <v>58.099475582694275</v>
      </c>
      <c r="J291" s="306">
        <f t="shared" ca="1" si="130"/>
        <v>321.64600151316409</v>
      </c>
      <c r="K291" s="307">
        <f t="shared" ca="1" si="131"/>
        <v>1266.2717712259966</v>
      </c>
      <c r="L291" s="304">
        <f t="shared" ca="1" si="116"/>
        <v>1306.4839642694544</v>
      </c>
      <c r="M291" s="306">
        <f t="shared" ca="1" si="132"/>
        <v>1.1225564405857125</v>
      </c>
      <c r="N291" s="304">
        <f t="shared" ca="1" si="133"/>
        <v>64.317746310789474</v>
      </c>
      <c r="P291" s="310">
        <f t="shared" ca="1" si="134"/>
        <v>23</v>
      </c>
      <c r="Q291" s="304">
        <f t="shared" ca="1" si="135"/>
        <v>0</v>
      </c>
      <c r="R291" s="306">
        <f t="shared" ca="1" si="136"/>
        <v>0</v>
      </c>
      <c r="S291" s="307">
        <f t="shared" ca="1" si="137"/>
        <v>7.4799999999999969</v>
      </c>
      <c r="T291" s="304">
        <f t="shared" ca="1" si="117"/>
        <v>73.37879999999997</v>
      </c>
      <c r="U291" s="311">
        <f t="shared" ca="1" si="118"/>
        <v>0</v>
      </c>
      <c r="V291" s="306">
        <f t="shared" ca="1" si="119"/>
        <v>1.0791180197037968</v>
      </c>
      <c r="W291" s="304">
        <f t="shared" ca="1" si="120"/>
        <v>11.556052841595241</v>
      </c>
      <c r="Y291" s="314" t="str">
        <f t="shared" ca="1" si="138"/>
        <v/>
      </c>
      <c r="Z291" s="315" t="str">
        <f t="shared" ca="1" si="139"/>
        <v/>
      </c>
      <c r="AA291" s="316" t="str">
        <f t="shared" ca="1" si="140"/>
        <v/>
      </c>
      <c r="AC291" s="310" t="e">
        <f t="shared" ca="1" si="141"/>
        <v>#N/A</v>
      </c>
      <c r="AD291" s="323" t="e">
        <f t="shared" ca="1" si="142"/>
        <v>#N/A</v>
      </c>
      <c r="AE291" s="324">
        <f t="shared" ca="1" si="121"/>
        <v>1266.2717712259966</v>
      </c>
      <c r="AG291" s="306">
        <f t="shared" ca="1" si="143"/>
        <v>-10.473193089309724</v>
      </c>
      <c r="AH291" s="304">
        <f t="shared" ca="1" si="144"/>
        <v>-1.6018967740518422</v>
      </c>
    </row>
    <row r="292" spans="1:34" x14ac:dyDescent="0.2">
      <c r="A292" s="347">
        <f t="shared" ca="1" si="122"/>
        <v>0.1</v>
      </c>
      <c r="B292" s="304">
        <f t="shared" ca="1" si="123"/>
        <v>10.799999999999979</v>
      </c>
      <c r="D292" s="306">
        <f t="shared" ca="1" si="124"/>
        <v>-0.66954035490247821</v>
      </c>
      <c r="E292" s="307">
        <f t="shared" ca="1" si="125"/>
        <v>-11.202305529146932</v>
      </c>
      <c r="F292" s="304">
        <f t="shared" ca="1" si="126"/>
        <v>11.222296264811353</v>
      </c>
      <c r="G292" s="306">
        <f t="shared" ca="1" si="127"/>
        <v>25.112195054437652</v>
      </c>
      <c r="H292" s="307">
        <f t="shared" ca="1" si="128"/>
        <v>51.239673133888161</v>
      </c>
      <c r="I292" s="304">
        <f t="shared" ca="1" si="129"/>
        <v>57.062478419008606</v>
      </c>
      <c r="J292" s="306">
        <f t="shared" ca="1" si="130"/>
        <v>324.16056872038234</v>
      </c>
      <c r="K292" s="307">
        <f t="shared" ca="1" si="131"/>
        <v>1271.4517500670313</v>
      </c>
      <c r="L292" s="304">
        <f t="shared" ca="1" si="116"/>
        <v>1312.1240898107305</v>
      </c>
      <c r="M292" s="306">
        <f t="shared" ca="1" si="132"/>
        <v>1.1151058408649448</v>
      </c>
      <c r="N292" s="304">
        <f t="shared" ca="1" si="133"/>
        <v>63.890858391948143</v>
      </c>
      <c r="P292" s="310">
        <f t="shared" ca="1" si="134"/>
        <v>23</v>
      </c>
      <c r="Q292" s="304">
        <f t="shared" ca="1" si="135"/>
        <v>0</v>
      </c>
      <c r="R292" s="306">
        <f t="shared" ca="1" si="136"/>
        <v>0</v>
      </c>
      <c r="S292" s="307">
        <f t="shared" ca="1" si="137"/>
        <v>7.4799999999999969</v>
      </c>
      <c r="T292" s="304">
        <f t="shared" ca="1" si="117"/>
        <v>73.37879999999997</v>
      </c>
      <c r="U292" s="311">
        <f t="shared" ca="1" si="118"/>
        <v>0</v>
      </c>
      <c r="V292" s="306">
        <f t="shared" ca="1" si="119"/>
        <v>1.0785569257676826</v>
      </c>
      <c r="W292" s="304">
        <f t="shared" ca="1" si="120"/>
        <v>11.141418372588667</v>
      </c>
      <c r="Y292" s="314" t="str">
        <f t="shared" ca="1" si="138"/>
        <v/>
      </c>
      <c r="Z292" s="315" t="str">
        <f t="shared" ca="1" si="139"/>
        <v/>
      </c>
      <c r="AA292" s="316" t="str">
        <f t="shared" ca="1" si="140"/>
        <v/>
      </c>
      <c r="AC292" s="310" t="e">
        <f t="shared" ca="1" si="141"/>
        <v>#N/A</v>
      </c>
      <c r="AD292" s="323" t="e">
        <f t="shared" ca="1" si="142"/>
        <v>#N/A</v>
      </c>
      <c r="AE292" s="324">
        <f t="shared" ca="1" si="121"/>
        <v>1271.4517500670313</v>
      </c>
      <c r="AG292" s="306">
        <f t="shared" ca="1" si="143"/>
        <v>-10.385809664241084</v>
      </c>
      <c r="AH292" s="304">
        <f t="shared" ca="1" si="144"/>
        <v>-1.5449268504806477</v>
      </c>
    </row>
    <row r="293" spans="1:34" x14ac:dyDescent="0.2">
      <c r="A293" s="347">
        <f t="shared" ca="1" si="122"/>
        <v>0.1</v>
      </c>
      <c r="B293" s="304">
        <f t="shared" ca="1" si="123"/>
        <v>10.899999999999979</v>
      </c>
      <c r="D293" s="306">
        <f t="shared" ca="1" si="124"/>
        <v>-0.65550035358598335</v>
      </c>
      <c r="E293" s="307">
        <f t="shared" ca="1" si="125"/>
        <v>-11.147502507609685</v>
      </c>
      <c r="F293" s="304">
        <f t="shared" ca="1" si="126"/>
        <v>11.166758386869288</v>
      </c>
      <c r="G293" s="306">
        <f t="shared" ca="1" si="127"/>
        <v>25.046645019079055</v>
      </c>
      <c r="H293" s="307">
        <f t="shared" ca="1" si="128"/>
        <v>50.124922883127191</v>
      </c>
      <c r="I293" s="304">
        <f t="shared" ca="1" si="129"/>
        <v>56.034295933394269</v>
      </c>
      <c r="J293" s="306">
        <f t="shared" ca="1" si="130"/>
        <v>326.66851072405819</v>
      </c>
      <c r="K293" s="307">
        <f t="shared" ca="1" si="131"/>
        <v>1276.5199798678821</v>
      </c>
      <c r="L293" s="304">
        <f t="shared" ca="1" si="116"/>
        <v>1317.6553323614535</v>
      </c>
      <c r="M293" s="306">
        <f t="shared" ca="1" si="132"/>
        <v>1.107401181722639</v>
      </c>
      <c r="N293" s="304">
        <f t="shared" ca="1" si="133"/>
        <v>63.449413940507135</v>
      </c>
      <c r="P293" s="310">
        <f t="shared" ca="1" si="134"/>
        <v>23</v>
      </c>
      <c r="Q293" s="304">
        <f t="shared" ca="1" si="135"/>
        <v>0</v>
      </c>
      <c r="R293" s="306">
        <f t="shared" ca="1" si="136"/>
        <v>0</v>
      </c>
      <c r="S293" s="307">
        <f t="shared" ca="1" si="137"/>
        <v>7.4799999999999969</v>
      </c>
      <c r="T293" s="304">
        <f t="shared" ca="1" si="117"/>
        <v>73.37879999999997</v>
      </c>
      <c r="U293" s="311">
        <f t="shared" ca="1" si="118"/>
        <v>0</v>
      </c>
      <c r="V293" s="306">
        <f t="shared" ca="1" si="119"/>
        <v>1.0780082008883236</v>
      </c>
      <c r="W293" s="304">
        <f t="shared" ca="1" si="120"/>
        <v>10.738065609923508</v>
      </c>
      <c r="Y293" s="314" t="str">
        <f t="shared" ca="1" si="138"/>
        <v/>
      </c>
      <c r="Z293" s="315" t="str">
        <f t="shared" ca="1" si="139"/>
        <v/>
      </c>
      <c r="AA293" s="316" t="str">
        <f t="shared" ca="1" si="140"/>
        <v/>
      </c>
      <c r="AC293" s="310" t="e">
        <f t="shared" ca="1" si="141"/>
        <v>#N/A</v>
      </c>
      <c r="AD293" s="323" t="e">
        <f t="shared" ca="1" si="142"/>
        <v>#N/A</v>
      </c>
      <c r="AE293" s="324">
        <f t="shared" ca="1" si="121"/>
        <v>1276.5199798678821</v>
      </c>
      <c r="AG293" s="306">
        <f t="shared" ca="1" si="143"/>
        <v>-10.298456249507446</v>
      </c>
      <c r="AH293" s="304">
        <f t="shared" ca="1" si="144"/>
        <v>-1.4894944348380577</v>
      </c>
    </row>
    <row r="294" spans="1:34" x14ac:dyDescent="0.2">
      <c r="A294" s="347">
        <f t="shared" ca="1" si="122"/>
        <v>0.1</v>
      </c>
      <c r="B294" s="304">
        <f t="shared" ca="1" si="123"/>
        <v>10.999999999999979</v>
      </c>
      <c r="D294" s="306">
        <f t="shared" ca="1" si="124"/>
        <v>-0.64168235401711216</v>
      </c>
      <c r="E294" s="307">
        <f t="shared" ca="1" si="125"/>
        <v>-11.09417512549367</v>
      </c>
      <c r="F294" s="304">
        <f t="shared" ca="1" si="126"/>
        <v>11.112716947649636</v>
      </c>
      <c r="G294" s="306">
        <f t="shared" ca="1" si="127"/>
        <v>24.982476783677342</v>
      </c>
      <c r="H294" s="307">
        <f t="shared" ca="1" si="128"/>
        <v>49.015505370577827</v>
      </c>
      <c r="I294" s="304">
        <f t="shared" ca="1" si="129"/>
        <v>55.014942633616563</v>
      </c>
      <c r="J294" s="306">
        <f t="shared" ca="1" si="130"/>
        <v>329.16996681419602</v>
      </c>
      <c r="K294" s="307">
        <f t="shared" ca="1" si="131"/>
        <v>1281.4770012805673</v>
      </c>
      <c r="L294" s="304">
        <f t="shared" ca="1" si="116"/>
        <v>1323.0782939280252</v>
      </c>
      <c r="M294" s="306">
        <f t="shared" ca="1" si="132"/>
        <v>1.0994306263614668</v>
      </c>
      <c r="N294" s="304">
        <f t="shared" ca="1" si="133"/>
        <v>62.992734757936596</v>
      </c>
      <c r="P294" s="310">
        <f t="shared" ca="1" si="134"/>
        <v>23</v>
      </c>
      <c r="Q294" s="304">
        <f t="shared" ca="1" si="135"/>
        <v>0</v>
      </c>
      <c r="R294" s="306">
        <f t="shared" ca="1" si="136"/>
        <v>0</v>
      </c>
      <c r="S294" s="307">
        <f t="shared" ca="1" si="137"/>
        <v>7.4799999999999969</v>
      </c>
      <c r="T294" s="304">
        <f t="shared" ca="1" si="117"/>
        <v>73.37879999999997</v>
      </c>
      <c r="U294" s="311">
        <f t="shared" ca="1" si="118"/>
        <v>0</v>
      </c>
      <c r="V294" s="306">
        <f t="shared" ca="1" si="119"/>
        <v>1.0774717690906288</v>
      </c>
      <c r="W294" s="304">
        <f t="shared" ca="1" si="120"/>
        <v>10.345783322082902</v>
      </c>
      <c r="Y294" s="314" t="str">
        <f t="shared" ca="1" si="138"/>
        <v/>
      </c>
      <c r="Z294" s="315" t="str">
        <f t="shared" ca="1" si="139"/>
        <v/>
      </c>
      <c r="AA294" s="316" t="str">
        <f t="shared" ca="1" si="140"/>
        <v/>
      </c>
      <c r="AC294" s="310">
        <f t="shared" ca="1" si="141"/>
        <v>10.999999999999979</v>
      </c>
      <c r="AD294" s="323">
        <f t="shared" ca="1" si="142"/>
        <v>329.16996681419602</v>
      </c>
      <c r="AE294" s="324">
        <f t="shared" ca="1" si="121"/>
        <v>1281.4770012805673</v>
      </c>
      <c r="AG294" s="306">
        <f t="shared" ca="1" si="143"/>
        <v>-10.21100833377943</v>
      </c>
      <c r="AH294" s="304">
        <f t="shared" ca="1" si="144"/>
        <v>-1.4355702687063518</v>
      </c>
    </row>
    <row r="295" spans="1:34" x14ac:dyDescent="0.2">
      <c r="A295" s="347">
        <f t="shared" ca="1" si="122"/>
        <v>0.1</v>
      </c>
      <c r="B295" s="304">
        <f t="shared" ca="1" si="123"/>
        <v>11.099999999999978</v>
      </c>
      <c r="D295" s="306">
        <f t="shared" ca="1" si="124"/>
        <v>-0.62808237802763844</v>
      </c>
      <c r="E295" s="307">
        <f t="shared" ca="1" si="125"/>
        <v>-11.042294757639617</v>
      </c>
      <c r="F295" s="304">
        <f t="shared" ca="1" si="126"/>
        <v>11.060142900893469</v>
      </c>
      <c r="G295" s="306">
        <f t="shared" ca="1" si="127"/>
        <v>24.919668545874579</v>
      </c>
      <c r="H295" s="307">
        <f t="shared" ca="1" si="128"/>
        <v>47.911275894813869</v>
      </c>
      <c r="I295" s="304">
        <f t="shared" ca="1" si="129"/>
        <v>54.004446467908757</v>
      </c>
      <c r="J295" s="306">
        <f t="shared" ca="1" si="130"/>
        <v>331.66507408067361</v>
      </c>
      <c r="K295" s="307">
        <f t="shared" ca="1" si="131"/>
        <v>1286.3233403438369</v>
      </c>
      <c r="L295" s="304">
        <f t="shared" ca="1" si="116"/>
        <v>1328.3935626455984</v>
      </c>
      <c r="M295" s="306">
        <f t="shared" ca="1" si="132"/>
        <v>1.0911816655251372</v>
      </c>
      <c r="N295" s="304">
        <f t="shared" ca="1" si="133"/>
        <v>62.520104116646202</v>
      </c>
      <c r="P295" s="310">
        <f t="shared" ca="1" si="134"/>
        <v>23</v>
      </c>
      <c r="Q295" s="304">
        <f t="shared" ca="1" si="135"/>
        <v>0</v>
      </c>
      <c r="R295" s="306">
        <f t="shared" ca="1" si="136"/>
        <v>0</v>
      </c>
      <c r="S295" s="307">
        <f t="shared" ca="1" si="137"/>
        <v>7.4799999999999969</v>
      </c>
      <c r="T295" s="304">
        <f t="shared" ca="1" si="117"/>
        <v>73.37879999999997</v>
      </c>
      <c r="U295" s="311">
        <f t="shared" ca="1" si="118"/>
        <v>0</v>
      </c>
      <c r="V295" s="306">
        <f t="shared" ca="1" si="119"/>
        <v>1.0769475564918536</v>
      </c>
      <c r="W295" s="304">
        <f t="shared" ca="1" si="120"/>
        <v>9.9643676448912313</v>
      </c>
      <c r="Y295" s="314" t="str">
        <f t="shared" ca="1" si="138"/>
        <v/>
      </c>
      <c r="Z295" s="315" t="str">
        <f t="shared" ca="1" si="139"/>
        <v/>
      </c>
      <c r="AA295" s="316" t="str">
        <f t="shared" ca="1" si="140"/>
        <v/>
      </c>
      <c r="AC295" s="310" t="e">
        <f t="shared" ca="1" si="141"/>
        <v>#N/A</v>
      </c>
      <c r="AD295" s="323" t="e">
        <f t="shared" ca="1" si="142"/>
        <v>#N/A</v>
      </c>
      <c r="AE295" s="324">
        <f t="shared" ca="1" si="121"/>
        <v>1286.3233403438369</v>
      </c>
      <c r="AG295" s="306">
        <f t="shared" ca="1" si="143"/>
        <v>-10.123335311515687</v>
      </c>
      <c r="AH295" s="304">
        <f t="shared" ca="1" si="144"/>
        <v>-1.3831261125779286</v>
      </c>
    </row>
    <row r="296" spans="1:34" x14ac:dyDescent="0.2">
      <c r="A296" s="347">
        <f t="shared" ca="1" si="122"/>
        <v>0.1</v>
      </c>
      <c r="B296" s="304">
        <f t="shared" ca="1" si="123"/>
        <v>11.199999999999978</v>
      </c>
      <c r="D296" s="306">
        <f t="shared" ca="1" si="124"/>
        <v>-0.61469670832245593</v>
      </c>
      <c r="E296" s="307">
        <f t="shared" ca="1" si="125"/>
        <v>-10.991833680085071</v>
      </c>
      <c r="F296" s="304">
        <f t="shared" ca="1" si="126"/>
        <v>11.009008115805663</v>
      </c>
      <c r="G296" s="306">
        <f t="shared" ca="1" si="127"/>
        <v>24.858198875042333</v>
      </c>
      <c r="H296" s="307">
        <f t="shared" ca="1" si="128"/>
        <v>46.812092526805365</v>
      </c>
      <c r="I296" s="304">
        <f t="shared" ca="1" si="129"/>
        <v>53.002849527637125</v>
      </c>
      <c r="J296" s="306">
        <f t="shared" ca="1" si="130"/>
        <v>334.15396745171944</v>
      </c>
      <c r="K296" s="307">
        <f t="shared" ca="1" si="131"/>
        <v>1291.0595087649178</v>
      </c>
      <c r="L296" s="304">
        <f t="shared" ca="1" si="116"/>
        <v>1333.6017130822966</v>
      </c>
      <c r="M296" s="306">
        <f t="shared" ca="1" si="132"/>
        <v>1.0826410767581931</v>
      </c>
      <c r="N296" s="304">
        <f t="shared" ca="1" si="133"/>
        <v>62.03076442574347</v>
      </c>
      <c r="P296" s="310">
        <f t="shared" ca="1" si="134"/>
        <v>23</v>
      </c>
      <c r="Q296" s="304">
        <f t="shared" ca="1" si="135"/>
        <v>0</v>
      </c>
      <c r="R296" s="306">
        <f t="shared" ca="1" si="136"/>
        <v>0</v>
      </c>
      <c r="S296" s="307">
        <f t="shared" ca="1" si="137"/>
        <v>7.4799999999999969</v>
      </c>
      <c r="T296" s="304">
        <f t="shared" ca="1" si="117"/>
        <v>73.37879999999997</v>
      </c>
      <c r="U296" s="311">
        <f t="shared" ca="1" si="118"/>
        <v>0</v>
      </c>
      <c r="V296" s="306">
        <f t="shared" ca="1" si="119"/>
        <v>1.0764354912599869</v>
      </c>
      <c r="W296" s="304">
        <f t="shared" ca="1" si="120"/>
        <v>9.5936218384580965</v>
      </c>
      <c r="Y296" s="314" t="str">
        <f t="shared" ca="1" si="138"/>
        <v/>
      </c>
      <c r="Z296" s="315" t="str">
        <f t="shared" ca="1" si="139"/>
        <v/>
      </c>
      <c r="AA296" s="316" t="str">
        <f t="shared" ca="1" si="140"/>
        <v/>
      </c>
      <c r="AC296" s="310" t="e">
        <f t="shared" ca="1" si="141"/>
        <v>#N/A</v>
      </c>
      <c r="AD296" s="323" t="e">
        <f t="shared" ca="1" si="142"/>
        <v>#N/A</v>
      </c>
      <c r="AE296" s="324">
        <f t="shared" ca="1" si="121"/>
        <v>1291.0595087649178</v>
      </c>
      <c r="AG296" s="306">
        <f t="shared" ca="1" si="143"/>
        <v>-10.035299863431504</v>
      </c>
      <c r="AH296" s="304">
        <f t="shared" ca="1" si="144"/>
        <v>-1.3321347118838549</v>
      </c>
    </row>
    <row r="297" spans="1:34" x14ac:dyDescent="0.2">
      <c r="A297" s="347">
        <f t="shared" ca="1" si="122"/>
        <v>0.1</v>
      </c>
      <c r="B297" s="304">
        <f t="shared" ca="1" si="123"/>
        <v>11.299999999999978</v>
      </c>
      <c r="D297" s="306">
        <f t="shared" ca="1" si="124"/>
        <v>-0.60152189101505871</v>
      </c>
      <c r="E297" s="307">
        <f t="shared" ca="1" si="125"/>
        <v>-10.942765030992131</v>
      </c>
      <c r="F297" s="304">
        <f t="shared" ca="1" si="126"/>
        <v>10.959285337506024</v>
      </c>
      <c r="G297" s="306">
        <f t="shared" ca="1" si="127"/>
        <v>24.798046685940829</v>
      </c>
      <c r="H297" s="307">
        <f t="shared" ca="1" si="128"/>
        <v>45.717816023706149</v>
      </c>
      <c r="I297" s="304">
        <f t="shared" ca="1" si="129"/>
        <v>52.010208819188023</v>
      </c>
      <c r="J297" s="306">
        <f t="shared" ca="1" si="130"/>
        <v>336.63677972976859</v>
      </c>
      <c r="K297" s="307">
        <f t="shared" ca="1" si="131"/>
        <v>1295.6860041924433</v>
      </c>
      <c r="L297" s="304">
        <f t="shared" ca="1" si="116"/>
        <v>1338.7033065347262</v>
      </c>
      <c r="M297" s="306">
        <f t="shared" ca="1" si="132"/>
        <v>1.0737948816497349</v>
      </c>
      <c r="N297" s="304">
        <f t="shared" ca="1" si="133"/>
        <v>61.523914781279537</v>
      </c>
      <c r="P297" s="310">
        <f t="shared" ca="1" si="134"/>
        <v>23</v>
      </c>
      <c r="Q297" s="304">
        <f t="shared" ca="1" si="135"/>
        <v>0</v>
      </c>
      <c r="R297" s="306">
        <f t="shared" ca="1" si="136"/>
        <v>0</v>
      </c>
      <c r="S297" s="307">
        <f t="shared" ca="1" si="137"/>
        <v>7.4799999999999969</v>
      </c>
      <c r="T297" s="304">
        <f t="shared" ca="1" si="117"/>
        <v>73.37879999999997</v>
      </c>
      <c r="U297" s="311">
        <f t="shared" ca="1" si="118"/>
        <v>0</v>
      </c>
      <c r="V297" s="306">
        <f t="shared" ca="1" si="119"/>
        <v>1.0759355035735152</v>
      </c>
      <c r="W297" s="304">
        <f t="shared" ca="1" si="120"/>
        <v>9.2333560546351165</v>
      </c>
      <c r="Y297" s="314" t="str">
        <f t="shared" ca="1" si="138"/>
        <v/>
      </c>
      <c r="Z297" s="315" t="str">
        <f t="shared" ca="1" si="139"/>
        <v/>
      </c>
      <c r="AA297" s="316" t="str">
        <f t="shared" ca="1" si="140"/>
        <v/>
      </c>
      <c r="AC297" s="310" t="e">
        <f t="shared" ca="1" si="141"/>
        <v>#N/A</v>
      </c>
      <c r="AD297" s="323" t="e">
        <f t="shared" ca="1" si="142"/>
        <v>#N/A</v>
      </c>
      <c r="AE297" s="324">
        <f t="shared" ca="1" si="121"/>
        <v>1295.6860041924433</v>
      </c>
      <c r="AG297" s="306">
        <f t="shared" ca="1" si="143"/>
        <v>-9.9467572898988745</v>
      </c>
      <c r="AH297" s="304">
        <f t="shared" ca="1" si="144"/>
        <v>-1.282569764499746</v>
      </c>
    </row>
    <row r="298" spans="1:34" x14ac:dyDescent="0.2">
      <c r="A298" s="347">
        <f t="shared" ca="1" si="122"/>
        <v>0.1</v>
      </c>
      <c r="B298" s="304">
        <f t="shared" ca="1" si="123"/>
        <v>11.399999999999977</v>
      </c>
      <c r="D298" s="306">
        <f t="shared" ca="1" si="124"/>
        <v>-0.58855473908083855</v>
      </c>
      <c r="E298" s="307">
        <f t="shared" ca="1" si="125"/>
        <v>-10.895062772159116</v>
      </c>
      <c r="F298" s="304">
        <f t="shared" ca="1" si="126"/>
        <v>10.910948148084199</v>
      </c>
      <c r="G298" s="306">
        <f t="shared" ca="1" si="127"/>
        <v>24.739191212032743</v>
      </c>
      <c r="H298" s="307">
        <f t="shared" ca="1" si="128"/>
        <v>44.628309746490238</v>
      </c>
      <c r="I298" s="304">
        <f t="shared" ca="1" si="129"/>
        <v>51.026597110273713</v>
      </c>
      <c r="J298" s="306">
        <f t="shared" ca="1" si="130"/>
        <v>339.11364162466725</v>
      </c>
      <c r="K298" s="307">
        <f t="shared" ca="1" si="131"/>
        <v>1300.2033104809532</v>
      </c>
      <c r="L298" s="304">
        <f t="shared" ca="1" si="116"/>
        <v>1343.6988913151538</v>
      </c>
      <c r="M298" s="306">
        <f t="shared" ca="1" si="132"/>
        <v>1.0646283011139182</v>
      </c>
      <c r="N298" s="304">
        <f t="shared" ca="1" si="133"/>
        <v>60.998708404010472</v>
      </c>
      <c r="P298" s="310">
        <f t="shared" ca="1" si="134"/>
        <v>23</v>
      </c>
      <c r="Q298" s="304">
        <f t="shared" ca="1" si="135"/>
        <v>0</v>
      </c>
      <c r="R298" s="306">
        <f t="shared" ca="1" si="136"/>
        <v>0</v>
      </c>
      <c r="S298" s="307">
        <f t="shared" ca="1" si="137"/>
        <v>7.4799999999999969</v>
      </c>
      <c r="T298" s="304">
        <f t="shared" ca="1" si="117"/>
        <v>73.37879999999997</v>
      </c>
      <c r="U298" s="311">
        <f t="shared" ca="1" si="118"/>
        <v>0</v>
      </c>
      <c r="V298" s="306">
        <f t="shared" ca="1" si="119"/>
        <v>1.0754475255824962</v>
      </c>
      <c r="W298" s="304">
        <f t="shared" ca="1" si="120"/>
        <v>8.8833871144746599</v>
      </c>
      <c r="Y298" s="314" t="str">
        <f t="shared" ca="1" si="138"/>
        <v/>
      </c>
      <c r="Z298" s="315" t="str">
        <f t="shared" ca="1" si="139"/>
        <v/>
      </c>
      <c r="AA298" s="316" t="str">
        <f t="shared" ca="1" si="140"/>
        <v/>
      </c>
      <c r="AC298" s="310" t="e">
        <f t="shared" ca="1" si="141"/>
        <v>#N/A</v>
      </c>
      <c r="AD298" s="323" t="e">
        <f t="shared" ca="1" si="142"/>
        <v>#N/A</v>
      </c>
      <c r="AE298" s="324">
        <f t="shared" ca="1" si="121"/>
        <v>1300.2033104809532</v>
      </c>
      <c r="AG298" s="306">
        <f t="shared" ca="1" si="143"/>
        <v>-9.8575547939755968</v>
      </c>
      <c r="AH298" s="304">
        <f t="shared" ca="1" si="144"/>
        <v>-1.2344058896571017</v>
      </c>
    </row>
    <row r="299" spans="1:34" x14ac:dyDescent="0.2">
      <c r="A299" s="347">
        <f t="shared" ca="1" si="122"/>
        <v>0.1</v>
      </c>
      <c r="B299" s="304">
        <f t="shared" ca="1" si="123"/>
        <v>11.499999999999977</v>
      </c>
      <c r="D299" s="306">
        <f t="shared" ca="1" si="124"/>
        <v>-0.57579233677171271</v>
      </c>
      <c r="E299" s="307">
        <f t="shared" ca="1" si="125"/>
        <v>-10.84870165094989</v>
      </c>
      <c r="F299" s="304">
        <f t="shared" ca="1" si="126"/>
        <v>10.863970928091067</v>
      </c>
      <c r="G299" s="306">
        <f t="shared" ca="1" si="127"/>
        <v>24.681611978355573</v>
      </c>
      <c r="H299" s="307">
        <f t="shared" ca="1" si="128"/>
        <v>43.543439581395248</v>
      </c>
      <c r="I299" s="304">
        <f t="shared" ca="1" si="129"/>
        <v>50.052103856168955</v>
      </c>
      <c r="J299" s="306">
        <f t="shared" ca="1" si="130"/>
        <v>341.58468178418667</v>
      </c>
      <c r="K299" s="307">
        <f t="shared" ca="1" si="131"/>
        <v>1304.6118979473474</v>
      </c>
      <c r="L299" s="304">
        <f t="shared" ca="1" si="116"/>
        <v>1348.5890030307173</v>
      </c>
      <c r="M299" s="306">
        <f t="shared" ca="1" si="132"/>
        <v>1.0551257088079973</v>
      </c>
      <c r="N299" s="304">
        <f t="shared" ca="1" si="133"/>
        <v>60.454249970447712</v>
      </c>
      <c r="P299" s="310">
        <f t="shared" ca="1" si="134"/>
        <v>23</v>
      </c>
      <c r="Q299" s="304">
        <f t="shared" ca="1" si="135"/>
        <v>0</v>
      </c>
      <c r="R299" s="306">
        <f t="shared" ca="1" si="136"/>
        <v>0</v>
      </c>
      <c r="S299" s="307">
        <f t="shared" ca="1" si="137"/>
        <v>7.4799999999999969</v>
      </c>
      <c r="T299" s="304">
        <f t="shared" ca="1" si="117"/>
        <v>73.37879999999997</v>
      </c>
      <c r="U299" s="311">
        <f t="shared" ca="1" si="118"/>
        <v>0</v>
      </c>
      <c r="V299" s="306">
        <f t="shared" ca="1" si="119"/>
        <v>1.0749714913708917</v>
      </c>
      <c r="W299" s="304">
        <f t="shared" ca="1" si="120"/>
        <v>8.5435382952036303</v>
      </c>
      <c r="Y299" s="314" t="str">
        <f t="shared" ca="1" si="138"/>
        <v/>
      </c>
      <c r="Z299" s="315" t="str">
        <f t="shared" ca="1" si="139"/>
        <v/>
      </c>
      <c r="AA299" s="316" t="str">
        <f t="shared" ca="1" si="140"/>
        <v/>
      </c>
      <c r="AC299" s="310" t="e">
        <f t="shared" ca="1" si="141"/>
        <v>#N/A</v>
      </c>
      <c r="AD299" s="323" t="e">
        <f t="shared" ca="1" si="142"/>
        <v>#N/A</v>
      </c>
      <c r="AE299" s="324">
        <f t="shared" ca="1" si="121"/>
        <v>1304.6118979473474</v>
      </c>
      <c r="AG299" s="306">
        <f t="shared" ca="1" si="143"/>
        <v>-9.7675307108284812</v>
      </c>
      <c r="AH299" s="304">
        <f t="shared" ca="1" si="144"/>
        <v>-1.1876185981917999</v>
      </c>
    </row>
    <row r="300" spans="1:34" x14ac:dyDescent="0.2">
      <c r="A300" s="347">
        <f t="shared" ca="1" si="122"/>
        <v>0.1</v>
      </c>
      <c r="B300" s="304">
        <f t="shared" ca="1" si="123"/>
        <v>11.599999999999977</v>
      </c>
      <c r="D300" s="306">
        <f t="shared" ca="1" si="124"/>
        <v>-0.56323204503925994</v>
      </c>
      <c r="E300" s="307">
        <f t="shared" ca="1" si="125"/>
        <v>-10.80365716246491</v>
      </c>
      <c r="F300" s="304">
        <f t="shared" ca="1" si="126"/>
        <v>10.818328818289748</v>
      </c>
      <c r="G300" s="306">
        <f t="shared" ca="1" si="127"/>
        <v>24.625288773851647</v>
      </c>
      <c r="H300" s="307">
        <f t="shared" ca="1" si="128"/>
        <v>42.463073865148758</v>
      </c>
      <c r="I300" s="304">
        <f t="shared" ca="1" si="129"/>
        <v>49.086836211683718</v>
      </c>
      <c r="J300" s="306">
        <f t="shared" ca="1" si="130"/>
        <v>344.05002682179702</v>
      </c>
      <c r="K300" s="307">
        <f t="shared" ca="1" si="131"/>
        <v>1308.9122236196747</v>
      </c>
      <c r="L300" s="304">
        <f t="shared" ca="1" si="116"/>
        <v>1353.3741648550413</v>
      </c>
      <c r="M300" s="306">
        <f t="shared" ca="1" si="132"/>
        <v>1.045270582849342</v>
      </c>
      <c r="N300" s="304">
        <f t="shared" ca="1" si="133"/>
        <v>59.889592846446952</v>
      </c>
      <c r="P300" s="310">
        <f t="shared" ca="1" si="134"/>
        <v>23</v>
      </c>
      <c r="Q300" s="304">
        <f t="shared" ca="1" si="135"/>
        <v>0</v>
      </c>
      <c r="R300" s="306">
        <f t="shared" ca="1" si="136"/>
        <v>0</v>
      </c>
      <c r="S300" s="307">
        <f t="shared" ca="1" si="137"/>
        <v>7.4799999999999969</v>
      </c>
      <c r="T300" s="304">
        <f t="shared" ca="1" si="117"/>
        <v>73.37879999999997</v>
      </c>
      <c r="U300" s="311">
        <f t="shared" ca="1" si="118"/>
        <v>0</v>
      </c>
      <c r="V300" s="306">
        <f t="shared" ca="1" si="119"/>
        <v>1.0745073369201075</v>
      </c>
      <c r="W300" s="304">
        <f t="shared" ca="1" si="120"/>
        <v>8.2136391262485926</v>
      </c>
      <c r="Y300" s="314" t="str">
        <f t="shared" ca="1" si="138"/>
        <v/>
      </c>
      <c r="Z300" s="315" t="str">
        <f t="shared" ca="1" si="139"/>
        <v/>
      </c>
      <c r="AA300" s="316" t="str">
        <f t="shared" ca="1" si="140"/>
        <v/>
      </c>
      <c r="AC300" s="310" t="e">
        <f t="shared" ca="1" si="141"/>
        <v>#N/A</v>
      </c>
      <c r="AD300" s="323" t="e">
        <f t="shared" ca="1" si="142"/>
        <v>#N/A</v>
      </c>
      <c r="AE300" s="324">
        <f t="shared" ca="1" si="121"/>
        <v>1308.9122236196747</v>
      </c>
      <c r="AG300" s="306">
        <f t="shared" ca="1" si="143"/>
        <v>-9.6765136804861704</v>
      </c>
      <c r="AH300" s="304">
        <f t="shared" ca="1" si="144"/>
        <v>-1.1421842640646569</v>
      </c>
    </row>
    <row r="301" spans="1:34" x14ac:dyDescent="0.2">
      <c r="A301" s="347">
        <f t="shared" ca="1" si="122"/>
        <v>0.1</v>
      </c>
      <c r="B301" s="304">
        <f t="shared" ca="1" si="123"/>
        <v>11.699999999999976</v>
      </c>
      <c r="D301" s="306">
        <f t="shared" ca="1" si="124"/>
        <v>-0.55087150801694496</v>
      </c>
      <c r="E301" s="307">
        <f t="shared" ca="1" si="125"/>
        <v>-10.759905511766746</v>
      </c>
      <c r="F301" s="304">
        <f t="shared" ca="1" si="126"/>
        <v>10.773997681477997</v>
      </c>
      <c r="G301" s="306">
        <f t="shared" ca="1" si="127"/>
        <v>24.570201623049954</v>
      </c>
      <c r="H301" s="307">
        <f t="shared" ca="1" si="128"/>
        <v>41.387083313972084</v>
      </c>
      <c r="I301" s="304">
        <f t="shared" ca="1" si="129"/>
        <v>48.130920134929823</v>
      </c>
      <c r="J301" s="306">
        <f t="shared" ca="1" si="130"/>
        <v>346.50980134164212</v>
      </c>
      <c r="K301" s="307">
        <f t="shared" ca="1" si="131"/>
        <v>1313.1047314786308</v>
      </c>
      <c r="L301" s="304">
        <f t="shared" ca="1" si="116"/>
        <v>1358.0548877926074</v>
      </c>
      <c r="M301" s="306">
        <f t="shared" ca="1" si="132"/>
        <v>1.0350454560689124</v>
      </c>
      <c r="N301" s="304">
        <f t="shared" ca="1" si="133"/>
        <v>59.303736236942143</v>
      </c>
      <c r="P301" s="310">
        <f t="shared" ca="1" si="134"/>
        <v>23</v>
      </c>
      <c r="Q301" s="304">
        <f t="shared" ca="1" si="135"/>
        <v>0</v>
      </c>
      <c r="R301" s="306">
        <f t="shared" ca="1" si="136"/>
        <v>0</v>
      </c>
      <c r="S301" s="307">
        <f t="shared" ca="1" si="137"/>
        <v>7.4799999999999969</v>
      </c>
      <c r="T301" s="304">
        <f t="shared" ca="1" si="117"/>
        <v>73.37879999999997</v>
      </c>
      <c r="U301" s="311">
        <f t="shared" ca="1" si="118"/>
        <v>0</v>
      </c>
      <c r="V301" s="306">
        <f t="shared" ca="1" si="119"/>
        <v>1.0740550000736824</v>
      </c>
      <c r="W301" s="304">
        <f t="shared" ca="1" si="120"/>
        <v>7.8935251938688742</v>
      </c>
      <c r="Y301" s="314" t="str">
        <f t="shared" ca="1" si="138"/>
        <v/>
      </c>
      <c r="Z301" s="315" t="str">
        <f t="shared" ca="1" si="139"/>
        <v/>
      </c>
      <c r="AA301" s="316" t="str">
        <f t="shared" ca="1" si="140"/>
        <v/>
      </c>
      <c r="AC301" s="310" t="e">
        <f t="shared" ca="1" si="141"/>
        <v>#N/A</v>
      </c>
      <c r="AD301" s="323" t="e">
        <f t="shared" ca="1" si="142"/>
        <v>#N/A</v>
      </c>
      <c r="AE301" s="324">
        <f t="shared" ca="1" si="121"/>
        <v>1313.1047314786308</v>
      </c>
      <c r="AG301" s="306">
        <f t="shared" ca="1" si="143"/>
        <v>-9.5843217611648903</v>
      </c>
      <c r="AH301" s="304">
        <f t="shared" ca="1" si="144"/>
        <v>-1.0980800970920583</v>
      </c>
    </row>
    <row r="302" spans="1:34" x14ac:dyDescent="0.2">
      <c r="A302" s="347">
        <f t="shared" ca="1" si="122"/>
        <v>0.1</v>
      </c>
      <c r="B302" s="304">
        <f t="shared" ca="1" si="123"/>
        <v>11.799999999999976</v>
      </c>
      <c r="D302" s="306">
        <f t="shared" ca="1" si="124"/>
        <v>-0.53870866061490841</v>
      </c>
      <c r="E302" s="307">
        <f t="shared" ca="1" si="125"/>
        <v>-10.717423575959241</v>
      </c>
      <c r="F302" s="304">
        <f t="shared" ca="1" si="126"/>
        <v>10.730954064180336</v>
      </c>
      <c r="G302" s="306">
        <f t="shared" ca="1" si="127"/>
        <v>24.516330756988463</v>
      </c>
      <c r="H302" s="307">
        <f t="shared" ca="1" si="128"/>
        <v>40.315340956376161</v>
      </c>
      <c r="I302" s="304">
        <f t="shared" ca="1" si="129"/>
        <v>47.184501589133262</v>
      </c>
      <c r="J302" s="306">
        <f t="shared" ca="1" si="130"/>
        <v>348.96412796064402</v>
      </c>
      <c r="K302" s="307">
        <f t="shared" ca="1" si="131"/>
        <v>1317.1898526921482</v>
      </c>
      <c r="L302" s="304">
        <f t="shared" ca="1" si="116"/>
        <v>1362.6316709362422</v>
      </c>
      <c r="M302" s="306">
        <f t="shared" ca="1" si="132"/>
        <v>1.0244318651333628</v>
      </c>
      <c r="N302" s="304">
        <f t="shared" ca="1" si="133"/>
        <v>58.695622270856845</v>
      </c>
      <c r="P302" s="310">
        <f t="shared" ca="1" si="134"/>
        <v>23</v>
      </c>
      <c r="Q302" s="304">
        <f t="shared" ca="1" si="135"/>
        <v>0</v>
      </c>
      <c r="R302" s="306">
        <f t="shared" ca="1" si="136"/>
        <v>0</v>
      </c>
      <c r="S302" s="307">
        <f t="shared" ca="1" si="137"/>
        <v>7.4799999999999969</v>
      </c>
      <c r="T302" s="304">
        <f t="shared" ca="1" si="117"/>
        <v>73.37879999999997</v>
      </c>
      <c r="U302" s="311">
        <f t="shared" ca="1" si="118"/>
        <v>0</v>
      </c>
      <c r="V302" s="306">
        <f t="shared" ca="1" si="119"/>
        <v>1.0736144205030755</v>
      </c>
      <c r="W302" s="304">
        <f t="shared" ca="1" si="120"/>
        <v>7.5830379539737933</v>
      </c>
      <c r="Y302" s="314" t="str">
        <f t="shared" ca="1" si="138"/>
        <v/>
      </c>
      <c r="Z302" s="315" t="str">
        <f t="shared" ca="1" si="139"/>
        <v/>
      </c>
      <c r="AA302" s="316" t="str">
        <f t="shared" ca="1" si="140"/>
        <v/>
      </c>
      <c r="AC302" s="310" t="e">
        <f t="shared" ca="1" si="141"/>
        <v>#N/A</v>
      </c>
      <c r="AD302" s="323" t="e">
        <f t="shared" ca="1" si="142"/>
        <v>#N/A</v>
      </c>
      <c r="AE302" s="324">
        <f t="shared" ca="1" si="121"/>
        <v>1317.1898526921482</v>
      </c>
      <c r="AG302" s="306">
        <f t="shared" ca="1" si="143"/>
        <v>-9.4907614808974863</v>
      </c>
      <c r="AH302" s="304">
        <f t="shared" ca="1" si="144"/>
        <v>-1.0552841168273901</v>
      </c>
    </row>
    <row r="303" spans="1:34" x14ac:dyDescent="0.2">
      <c r="A303" s="347">
        <f t="shared" ca="1" si="122"/>
        <v>0.1</v>
      </c>
      <c r="B303" s="304">
        <f t="shared" ca="1" si="123"/>
        <v>11.899999999999975</v>
      </c>
      <c r="D303" s="306">
        <f t="shared" ca="1" si="124"/>
        <v>-0.52674173728306395</v>
      </c>
      <c r="E303" s="307">
        <f t="shared" ca="1" si="125"/>
        <v>-10.676188865903896</v>
      </c>
      <c r="F303" s="304">
        <f t="shared" ca="1" si="126"/>
        <v>10.689175157992608</v>
      </c>
      <c r="G303" s="306">
        <f t="shared" ca="1" si="127"/>
        <v>24.463656583260157</v>
      </c>
      <c r="H303" s="307">
        <f t="shared" ca="1" si="128"/>
        <v>39.247722069785773</v>
      </c>
      <c r="I303" s="304">
        <f t="shared" ca="1" si="129"/>
        <v>46.247747848850295</v>
      </c>
      <c r="J303" s="306">
        <f t="shared" ca="1" si="130"/>
        <v>351.41312732765647</v>
      </c>
      <c r="K303" s="307">
        <f t="shared" ca="1" si="131"/>
        <v>1321.1680058434563</v>
      </c>
      <c r="L303" s="304">
        <f t="shared" ca="1" si="116"/>
        <v>1367.1050017180753</v>
      </c>
      <c r="M303" s="306">
        <f t="shared" ca="1" si="132"/>
        <v>1.0134102989849989</v>
      </c>
      <c r="N303" s="304">
        <f t="shared" ca="1" si="133"/>
        <v>58.064133046931332</v>
      </c>
      <c r="P303" s="310">
        <f t="shared" ca="1" si="134"/>
        <v>23</v>
      </c>
      <c r="Q303" s="304">
        <f t="shared" ca="1" si="135"/>
        <v>0</v>
      </c>
      <c r="R303" s="306">
        <f t="shared" ca="1" si="136"/>
        <v>0</v>
      </c>
      <c r="S303" s="307">
        <f t="shared" ca="1" si="137"/>
        <v>7.4799999999999969</v>
      </c>
      <c r="T303" s="304">
        <f t="shared" ca="1" si="117"/>
        <v>73.37879999999997</v>
      </c>
      <c r="U303" s="311">
        <f t="shared" ca="1" si="118"/>
        <v>0</v>
      </c>
      <c r="V303" s="306">
        <f t="shared" ca="1" si="119"/>
        <v>1.0731855396744987</v>
      </c>
      <c r="W303" s="304">
        <f t="shared" ca="1" si="120"/>
        <v>7.2820245527171892</v>
      </c>
      <c r="Y303" s="314" t="str">
        <f t="shared" ca="1" si="138"/>
        <v/>
      </c>
      <c r="Z303" s="315" t="str">
        <f t="shared" ca="1" si="139"/>
        <v/>
      </c>
      <c r="AA303" s="316" t="str">
        <f t="shared" ca="1" si="140"/>
        <v/>
      </c>
      <c r="AC303" s="310" t="e">
        <f t="shared" ca="1" si="141"/>
        <v>#N/A</v>
      </c>
      <c r="AD303" s="323" t="e">
        <f t="shared" ca="1" si="142"/>
        <v>#N/A</v>
      </c>
      <c r="AE303" s="324">
        <f t="shared" ca="1" si="121"/>
        <v>1321.1680058434563</v>
      </c>
      <c r="AG303" s="306">
        <f t="shared" ca="1" si="143"/>
        <v>-9.39562682591575</v>
      </c>
      <c r="AH303" s="304">
        <f t="shared" ca="1" si="144"/>
        <v>-1.0137751275366038</v>
      </c>
    </row>
    <row r="304" spans="1:34" x14ac:dyDescent="0.2">
      <c r="A304" s="347">
        <f t="shared" ca="1" si="122"/>
        <v>0.1</v>
      </c>
      <c r="B304" s="304">
        <f t="shared" ca="1" si="123"/>
        <v>11.999999999999975</v>
      </c>
      <c r="D304" s="306">
        <f t="shared" ca="1" si="124"/>
        <v>-0.51496928199948744</v>
      </c>
      <c r="E304" s="307">
        <f t="shared" ca="1" si="125"/>
        <v>-10.636179487338911</v>
      </c>
      <c r="F304" s="304">
        <f t="shared" ca="1" si="126"/>
        <v>10.6486387603436</v>
      </c>
      <c r="G304" s="306">
        <f t="shared" ca="1" si="127"/>
        <v>24.412159655060208</v>
      </c>
      <c r="H304" s="307">
        <f t="shared" ca="1" si="128"/>
        <v>38.184104121051881</v>
      </c>
      <c r="I304" s="304">
        <f t="shared" ca="1" si="129"/>
        <v>45.320848916933144</v>
      </c>
      <c r="J304" s="306">
        <f t="shared" ca="1" si="130"/>
        <v>353.85691813957249</v>
      </c>
      <c r="K304" s="307">
        <f t="shared" ca="1" si="131"/>
        <v>1325.0395971529981</v>
      </c>
      <c r="L304" s="304">
        <f t="shared" ca="1" si="116"/>
        <v>1371.4753561543189</v>
      </c>
      <c r="M304" s="306">
        <f t="shared" ca="1" si="132"/>
        <v>1.0019601471925679</v>
      </c>
      <c r="N304" s="304">
        <f t="shared" ca="1" si="133"/>
        <v>57.408087674440878</v>
      </c>
      <c r="P304" s="310">
        <f t="shared" ca="1" si="134"/>
        <v>23</v>
      </c>
      <c r="Q304" s="304">
        <f t="shared" ca="1" si="135"/>
        <v>0</v>
      </c>
      <c r="R304" s="306">
        <f t="shared" ca="1" si="136"/>
        <v>0</v>
      </c>
      <c r="S304" s="307">
        <f t="shared" ca="1" si="137"/>
        <v>7.4799999999999969</v>
      </c>
      <c r="T304" s="304">
        <f t="shared" ca="1" si="117"/>
        <v>73.37879999999997</v>
      </c>
      <c r="U304" s="311">
        <f t="shared" ca="1" si="118"/>
        <v>0</v>
      </c>
      <c r="V304" s="306">
        <f t="shared" ca="1" si="119"/>
        <v>1.0727683008167428</v>
      </c>
      <c r="W304" s="304">
        <f t="shared" ca="1" si="120"/>
        <v>6.9903376544785187</v>
      </c>
      <c r="Y304" s="314" t="str">
        <f t="shared" ca="1" si="138"/>
        <v/>
      </c>
      <c r="Z304" s="315" t="str">
        <f t="shared" ca="1" si="139"/>
        <v/>
      </c>
      <c r="AA304" s="316" t="str">
        <f t="shared" ca="1" si="140"/>
        <v/>
      </c>
      <c r="AC304" s="310">
        <f t="shared" ca="1" si="141"/>
        <v>11.999999999999975</v>
      </c>
      <c r="AD304" s="323">
        <f t="shared" ca="1" si="142"/>
        <v>353.85691813957249</v>
      </c>
      <c r="AE304" s="324">
        <f t="shared" ca="1" si="121"/>
        <v>1325.0395971529981</v>
      </c>
      <c r="AG304" s="306">
        <f t="shared" ca="1" si="143"/>
        <v>-9.2986981652532155</v>
      </c>
      <c r="AH304" s="304">
        <f t="shared" ca="1" si="144"/>
        <v>-0.97353269421352839</v>
      </c>
    </row>
    <row r="305" spans="1:34" x14ac:dyDescent="0.2">
      <c r="A305" s="347">
        <f t="shared" ca="1" si="122"/>
        <v>0.1</v>
      </c>
      <c r="B305" s="304">
        <f t="shared" ca="1" si="123"/>
        <v>12.099999999999975</v>
      </c>
      <c r="D305" s="306">
        <f t="shared" ca="1" si="124"/>
        <v>-0.50339015954109245</v>
      </c>
      <c r="E305" s="307">
        <f t="shared" ca="1" si="125"/>
        <v>-10.597374101145768</v>
      </c>
      <c r="F305" s="304">
        <f t="shared" ca="1" si="126"/>
        <v>10.609323234417824</v>
      </c>
      <c r="G305" s="306">
        <f t="shared" ca="1" si="127"/>
        <v>24.361820639106099</v>
      </c>
      <c r="H305" s="307">
        <f t="shared" ca="1" si="128"/>
        <v>37.124366710937302</v>
      </c>
      <c r="I305" s="304">
        <f t="shared" ca="1" si="129"/>
        <v>44.404019058415486</v>
      </c>
      <c r="J305" s="306">
        <f t="shared" ca="1" si="130"/>
        <v>356.29561715428082</v>
      </c>
      <c r="K305" s="307">
        <f t="shared" ca="1" si="131"/>
        <v>1328.8050206945975</v>
      </c>
      <c r="L305" s="304">
        <f t="shared" ca="1" si="116"/>
        <v>1375.7431990842331</v>
      </c>
      <c r="M305" s="306">
        <f t="shared" ca="1" si="132"/>
        <v>0.99005964898138998</v>
      </c>
      <c r="N305" s="304">
        <f t="shared" ca="1" si="133"/>
        <v>56.726239352837403</v>
      </c>
      <c r="P305" s="310">
        <f t="shared" ca="1" si="134"/>
        <v>23</v>
      </c>
      <c r="Q305" s="304">
        <f t="shared" ca="1" si="135"/>
        <v>0</v>
      </c>
      <c r="R305" s="306">
        <f t="shared" ca="1" si="136"/>
        <v>0</v>
      </c>
      <c r="S305" s="307">
        <f t="shared" ca="1" si="137"/>
        <v>7.4799999999999969</v>
      </c>
      <c r="T305" s="304">
        <f t="shared" ca="1" si="117"/>
        <v>73.37879999999997</v>
      </c>
      <c r="U305" s="311">
        <f t="shared" ca="1" si="118"/>
        <v>0</v>
      </c>
      <c r="V305" s="306">
        <f t="shared" ca="1" si="119"/>
        <v>1.0723626488899403</v>
      </c>
      <c r="W305" s="304">
        <f t="shared" ca="1" si="120"/>
        <v>6.7078352768536265</v>
      </c>
      <c r="Y305" s="314" t="str">
        <f t="shared" ca="1" si="138"/>
        <v/>
      </c>
      <c r="Z305" s="315" t="str">
        <f t="shared" ca="1" si="139"/>
        <v/>
      </c>
      <c r="AA305" s="316" t="str">
        <f t="shared" ca="1" si="140"/>
        <v/>
      </c>
      <c r="AC305" s="310" t="e">
        <f t="shared" ca="1" si="141"/>
        <v>#N/A</v>
      </c>
      <c r="AD305" s="323" t="e">
        <f t="shared" ca="1" si="142"/>
        <v>#N/A</v>
      </c>
      <c r="AE305" s="324">
        <f t="shared" ca="1" si="121"/>
        <v>1328.8050206945975</v>
      </c>
      <c r="AG305" s="306">
        <f t="shared" ca="1" si="143"/>
        <v>-9.1997411124311785</v>
      </c>
      <c r="AH305" s="304">
        <f t="shared" ca="1" si="144"/>
        <v>-0.93453711958269003</v>
      </c>
    </row>
    <row r="306" spans="1:34" x14ac:dyDescent="0.2">
      <c r="A306" s="347">
        <f t="shared" ca="1" si="122"/>
        <v>0.1</v>
      </c>
      <c r="B306" s="304">
        <f t="shared" ca="1" si="123"/>
        <v>12.199999999999974</v>
      </c>
      <c r="D306" s="306">
        <f t="shared" ca="1" si="124"/>
        <v>-0.49200356809176554</v>
      </c>
      <c r="E306" s="307">
        <f t="shared" ca="1" si="125"/>
        <v>-10.559751882484861</v>
      </c>
      <c r="F306" s="304">
        <f t="shared" ca="1" si="126"/>
        <v>10.571207467960203</v>
      </c>
      <c r="G306" s="306">
        <f t="shared" ca="1" si="127"/>
        <v>24.312620282296923</v>
      </c>
      <c r="H306" s="307">
        <f t="shared" ca="1" si="128"/>
        <v>36.068391522688813</v>
      </c>
      <c r="I306" s="304">
        <f t="shared" ca="1" si="129"/>
        <v>43.497498457096654</v>
      </c>
      <c r="J306" s="306">
        <f t="shared" ca="1" si="130"/>
        <v>358.72933920035098</v>
      </c>
      <c r="K306" s="307">
        <f t="shared" ca="1" si="131"/>
        <v>1332.4646586062788</v>
      </c>
      <c r="L306" s="304">
        <f t="shared" ca="1" si="116"/>
        <v>1379.9089844036337</v>
      </c>
      <c r="M306" s="306">
        <f t="shared" ca="1" si="132"/>
        <v>0.97768584392429303</v>
      </c>
      <c r="N306" s="304">
        <f t="shared" ca="1" si="133"/>
        <v>56.017272546548107</v>
      </c>
      <c r="P306" s="310">
        <f t="shared" ca="1" si="134"/>
        <v>23</v>
      </c>
      <c r="Q306" s="304">
        <f t="shared" ca="1" si="135"/>
        <v>0</v>
      </c>
      <c r="R306" s="306">
        <f t="shared" ca="1" si="136"/>
        <v>0</v>
      </c>
      <c r="S306" s="307">
        <f t="shared" ca="1" si="137"/>
        <v>7.4799999999999969</v>
      </c>
      <c r="T306" s="304">
        <f t="shared" ca="1" si="117"/>
        <v>73.37879999999997</v>
      </c>
      <c r="U306" s="311">
        <f t="shared" ca="1" si="118"/>
        <v>0</v>
      </c>
      <c r="V306" s="306">
        <f t="shared" ca="1" si="119"/>
        <v>1.0719685305552189</v>
      </c>
      <c r="W306" s="304">
        <f t="shared" ca="1" si="120"/>
        <v>6.4343806322908454</v>
      </c>
      <c r="Y306" s="314" t="str">
        <f t="shared" ca="1" si="138"/>
        <v/>
      </c>
      <c r="Z306" s="315" t="str">
        <f t="shared" ca="1" si="139"/>
        <v/>
      </c>
      <c r="AA306" s="316" t="str">
        <f t="shared" ca="1" si="140"/>
        <v/>
      </c>
      <c r="AC306" s="310" t="e">
        <f t="shared" ca="1" si="141"/>
        <v>#N/A</v>
      </c>
      <c r="AD306" s="323" t="e">
        <f t="shared" ca="1" si="142"/>
        <v>#N/A</v>
      </c>
      <c r="AE306" s="324">
        <f t="shared" ca="1" si="121"/>
        <v>1332.4646586062788</v>
      </c>
      <c r="AG306" s="306">
        <f t="shared" ca="1" si="143"/>
        <v>-9.0985053269623339</v>
      </c>
      <c r="AH306" s="304">
        <f t="shared" ca="1" si="144"/>
        <v>-0.89676942203925525</v>
      </c>
    </row>
    <row r="307" spans="1:34" x14ac:dyDescent="0.2">
      <c r="A307" s="347">
        <f t="shared" ca="1" si="122"/>
        <v>0.1</v>
      </c>
      <c r="B307" s="304">
        <f t="shared" ca="1" si="123"/>
        <v>12.299999999999974</v>
      </c>
      <c r="D307" s="306">
        <f t="shared" ca="1" si="124"/>
        <v>-0.48080905323906176</v>
      </c>
      <c r="E307" s="307">
        <f t="shared" ca="1" si="125"/>
        <v>-10.523292478495511</v>
      </c>
      <c r="F307" s="304">
        <f t="shared" ca="1" si="126"/>
        <v>10.534270830657281</v>
      </c>
      <c r="G307" s="306">
        <f t="shared" ca="1" si="127"/>
        <v>24.264539376973016</v>
      </c>
      <c r="H307" s="307">
        <f t="shared" ca="1" si="128"/>
        <v>35.016062274839264</v>
      </c>
      <c r="I307" s="304">
        <f t="shared" ca="1" si="129"/>
        <v>42.601554999930407</v>
      </c>
      <c r="J307" s="306">
        <f t="shared" ca="1" si="130"/>
        <v>361.15819718331448</v>
      </c>
      <c r="K307" s="307">
        <f t="shared" ca="1" si="131"/>
        <v>1336.0188812961553</v>
      </c>
      <c r="L307" s="304">
        <f t="shared" ca="1" si="116"/>
        <v>1383.9731552933142</v>
      </c>
      <c r="M307" s="306">
        <f t="shared" ca="1" si="132"/>
        <v>0.96481452553165736</v>
      </c>
      <c r="N307" s="304">
        <f t="shared" ca="1" si="133"/>
        <v>55.279800325880977</v>
      </c>
      <c r="P307" s="310">
        <f t="shared" ca="1" si="134"/>
        <v>23</v>
      </c>
      <c r="Q307" s="304">
        <f t="shared" ca="1" si="135"/>
        <v>0</v>
      </c>
      <c r="R307" s="306">
        <f t="shared" ca="1" si="136"/>
        <v>0</v>
      </c>
      <c r="S307" s="307">
        <f t="shared" ca="1" si="137"/>
        <v>7.4799999999999969</v>
      </c>
      <c r="T307" s="304">
        <f t="shared" ca="1" si="117"/>
        <v>73.37879999999997</v>
      </c>
      <c r="U307" s="311">
        <f t="shared" ca="1" si="118"/>
        <v>0</v>
      </c>
      <c r="V307" s="306">
        <f t="shared" ca="1" si="119"/>
        <v>1.071585894145181</v>
      </c>
      <c r="W307" s="304">
        <f t="shared" ca="1" si="120"/>
        <v>6.1698419760188719</v>
      </c>
      <c r="Y307" s="314" t="str">
        <f t="shared" ca="1" si="138"/>
        <v/>
      </c>
      <c r="Z307" s="315" t="str">
        <f t="shared" ca="1" si="139"/>
        <v/>
      </c>
      <c r="AA307" s="316" t="str">
        <f t="shared" ca="1" si="140"/>
        <v/>
      </c>
      <c r="AC307" s="310" t="e">
        <f t="shared" ca="1" si="141"/>
        <v>#N/A</v>
      </c>
      <c r="AD307" s="323" t="e">
        <f t="shared" ca="1" si="142"/>
        <v>#N/A</v>
      </c>
      <c r="AE307" s="324">
        <f t="shared" ca="1" si="121"/>
        <v>1336.0188812961553</v>
      </c>
      <c r="AG307" s="306">
        <f t="shared" ca="1" si="143"/>
        <v>-8.994723260872993</v>
      </c>
      <c r="AH307" s="304">
        <f t="shared" ca="1" si="144"/>
        <v>-0.86021131447738608</v>
      </c>
    </row>
    <row r="308" spans="1:34" x14ac:dyDescent="0.2">
      <c r="A308" s="347">
        <f t="shared" ca="1" si="122"/>
        <v>0.1</v>
      </c>
      <c r="B308" s="304">
        <f t="shared" ca="1" si="123"/>
        <v>12.399999999999974</v>
      </c>
      <c r="D308" s="306">
        <f t="shared" ca="1" si="124"/>
        <v>-0.46980652340343959</v>
      </c>
      <c r="E308" s="307">
        <f t="shared" ca="1" si="125"/>
        <v>-10.487975964226724</v>
      </c>
      <c r="F308" s="304">
        <f t="shared" ca="1" si="126"/>
        <v>10.49849312976057</v>
      </c>
      <c r="G308" s="306">
        <f t="shared" ca="1" si="127"/>
        <v>24.217558724632671</v>
      </c>
      <c r="H308" s="307">
        <f t="shared" ca="1" si="128"/>
        <v>33.967264678416591</v>
      </c>
      <c r="I308" s="304">
        <f t="shared" ca="1" si="129"/>
        <v>41.716486193286215</v>
      </c>
      <c r="J308" s="306">
        <f t="shared" ca="1" si="130"/>
        <v>363.58230208839478</v>
      </c>
      <c r="K308" s="307">
        <f t="shared" ca="1" si="131"/>
        <v>1339.4680476438182</v>
      </c>
      <c r="L308" s="304">
        <f t="shared" ca="1" si="116"/>
        <v>1387.9361444427618</v>
      </c>
      <c r="M308" s="306">
        <f t="shared" ca="1" si="132"/>
        <v>0.95142019928660859</v>
      </c>
      <c r="N308" s="304">
        <f t="shared" ca="1" si="133"/>
        <v>54.512361962618371</v>
      </c>
      <c r="P308" s="310">
        <f t="shared" ca="1" si="134"/>
        <v>23</v>
      </c>
      <c r="Q308" s="304">
        <f t="shared" ca="1" si="135"/>
        <v>0</v>
      </c>
      <c r="R308" s="306">
        <f t="shared" ca="1" si="136"/>
        <v>0</v>
      </c>
      <c r="S308" s="307">
        <f t="shared" ca="1" si="137"/>
        <v>7.4799999999999969</v>
      </c>
      <c r="T308" s="304">
        <f t="shared" ca="1" si="117"/>
        <v>73.37879999999997</v>
      </c>
      <c r="U308" s="311">
        <f t="shared" ca="1" si="118"/>
        <v>0</v>
      </c>
      <c r="V308" s="306">
        <f t="shared" ca="1" si="119"/>
        <v>1.0712146896351664</v>
      </c>
      <c r="W308" s="304">
        <f t="shared" ca="1" si="120"/>
        <v>5.9140924599219549</v>
      </c>
      <c r="Y308" s="314" t="str">
        <f t="shared" ca="1" si="138"/>
        <v/>
      </c>
      <c r="Z308" s="315" t="str">
        <f t="shared" ca="1" si="139"/>
        <v/>
      </c>
      <c r="AA308" s="316" t="str">
        <f t="shared" ca="1" si="140"/>
        <v/>
      </c>
      <c r="AC308" s="310" t="e">
        <f t="shared" ca="1" si="141"/>
        <v>#N/A</v>
      </c>
      <c r="AD308" s="323" t="e">
        <f t="shared" ca="1" si="142"/>
        <v>#N/A</v>
      </c>
      <c r="AE308" s="324">
        <f t="shared" ca="1" si="121"/>
        <v>1339.4680476438182</v>
      </c>
      <c r="AG308" s="306">
        <f t="shared" ca="1" si="143"/>
        <v>-8.8881088586480104</v>
      </c>
      <c r="AH308" s="304">
        <f t="shared" ca="1" si="144"/>
        <v>-0.8248451839597426</v>
      </c>
    </row>
    <row r="309" spans="1:34" x14ac:dyDescent="0.2">
      <c r="A309" s="347">
        <f t="shared" ca="1" si="122"/>
        <v>0.1</v>
      </c>
      <c r="B309" s="304">
        <f t="shared" ca="1" si="123"/>
        <v>12.499999999999973</v>
      </c>
      <c r="D309" s="306">
        <f t="shared" ca="1" si="124"/>
        <v>-0.45899626673305671</v>
      </c>
      <c r="E309" s="307">
        <f t="shared" ca="1" si="125"/>
        <v>-10.453782796433101</v>
      </c>
      <c r="F309" s="304">
        <f t="shared" ca="1" si="126"/>
        <v>10.463854563585809</v>
      </c>
      <c r="G309" s="306">
        <f t="shared" ca="1" si="127"/>
        <v>24.171659097959363</v>
      </c>
      <c r="H309" s="307">
        <f t="shared" ca="1" si="128"/>
        <v>32.921886398773282</v>
      </c>
      <c r="I309" s="304">
        <f t="shared" ca="1" si="129"/>
        <v>40.84262121365002</v>
      </c>
      <c r="J309" s="306">
        <f t="shared" ca="1" si="130"/>
        <v>366.00176297952436</v>
      </c>
      <c r="K309" s="307">
        <f t="shared" ca="1" si="131"/>
        <v>1342.8125051976776</v>
      </c>
      <c r="L309" s="304">
        <f t="shared" ca="1" si="116"/>
        <v>1391.7983742695574</v>
      </c>
      <c r="M309" s="306">
        <f t="shared" ca="1" si="132"/>
        <v>0.93747604703758636</v>
      </c>
      <c r="N309" s="304">
        <f t="shared" ca="1" si="133"/>
        <v>53.713420889861538</v>
      </c>
      <c r="P309" s="310">
        <f t="shared" ca="1" si="134"/>
        <v>23</v>
      </c>
      <c r="Q309" s="304">
        <f t="shared" ca="1" si="135"/>
        <v>0</v>
      </c>
      <c r="R309" s="306">
        <f t="shared" ca="1" si="136"/>
        <v>0</v>
      </c>
      <c r="S309" s="307">
        <f t="shared" ca="1" si="137"/>
        <v>7.4799999999999969</v>
      </c>
      <c r="T309" s="304">
        <f t="shared" ca="1" si="117"/>
        <v>73.37879999999997</v>
      </c>
      <c r="U309" s="311">
        <f t="shared" ca="1" si="118"/>
        <v>0</v>
      </c>
      <c r="V309" s="306">
        <f t="shared" ca="1" si="119"/>
        <v>1.0708548686152253</v>
      </c>
      <c r="W309" s="304">
        <f t="shared" ca="1" si="120"/>
        <v>5.6670099920253385</v>
      </c>
      <c r="Y309" s="314" t="str">
        <f t="shared" ca="1" si="138"/>
        <v/>
      </c>
      <c r="Z309" s="315" t="str">
        <f t="shared" ca="1" si="139"/>
        <v/>
      </c>
      <c r="AA309" s="316" t="str">
        <f t="shared" ca="1" si="140"/>
        <v/>
      </c>
      <c r="AC309" s="310" t="e">
        <f t="shared" ca="1" si="141"/>
        <v>#N/A</v>
      </c>
      <c r="AD309" s="323" t="e">
        <f t="shared" ca="1" si="142"/>
        <v>#N/A</v>
      </c>
      <c r="AE309" s="324">
        <f t="shared" ca="1" si="121"/>
        <v>1342.8125051976776</v>
      </c>
      <c r="AG309" s="306">
        <f t="shared" ca="1" si="143"/>
        <v>-8.7783562231099914</v>
      </c>
      <c r="AH309" s="304">
        <f t="shared" ca="1" si="144"/>
        <v>-0.79065407218207984</v>
      </c>
    </row>
    <row r="310" spans="1:34" x14ac:dyDescent="0.2">
      <c r="A310" s="347">
        <f t="shared" ca="1" si="122"/>
        <v>0.1</v>
      </c>
      <c r="B310" s="304">
        <f t="shared" ca="1" si="123"/>
        <v>12.599999999999973</v>
      </c>
      <c r="D310" s="306">
        <f t="shared" ca="1" si="124"/>
        <v>-0.44837896948127937</v>
      </c>
      <c r="E310" s="307">
        <f t="shared" ca="1" si="125"/>
        <v>-10.420693764835859</v>
      </c>
      <c r="F310" s="304">
        <f t="shared" ca="1" si="126"/>
        <v>10.430335672487345</v>
      </c>
      <c r="G310" s="306">
        <f t="shared" ca="1" si="127"/>
        <v>24.126821201011236</v>
      </c>
      <c r="H310" s="307">
        <f t="shared" ca="1" si="128"/>
        <v>31.879817022289696</v>
      </c>
      <c r="I310" s="304">
        <f t="shared" ca="1" si="129"/>
        <v>39.980323093244721</v>
      </c>
      <c r="J310" s="306">
        <f t="shared" ca="1" si="130"/>
        <v>368.41668699447291</v>
      </c>
      <c r="K310" s="307">
        <f t="shared" ca="1" si="131"/>
        <v>1346.0525903687308</v>
      </c>
      <c r="L310" s="304">
        <f t="shared" ca="1" si="116"/>
        <v>1395.5602571348734</v>
      </c>
      <c r="M310" s="306">
        <f t="shared" ca="1" si="132"/>
        <v>0.9229539000929291</v>
      </c>
      <c r="N310" s="304">
        <f t="shared" ca="1" si="133"/>
        <v>52.881363160463877</v>
      </c>
      <c r="P310" s="310">
        <f t="shared" ca="1" si="134"/>
        <v>23</v>
      </c>
      <c r="Q310" s="304">
        <f t="shared" ca="1" si="135"/>
        <v>0</v>
      </c>
      <c r="R310" s="306">
        <f t="shared" ca="1" si="136"/>
        <v>0</v>
      </c>
      <c r="S310" s="307">
        <f t="shared" ca="1" si="137"/>
        <v>7.4799999999999969</v>
      </c>
      <c r="T310" s="304">
        <f t="shared" ca="1" si="117"/>
        <v>73.37879999999997</v>
      </c>
      <c r="U310" s="311">
        <f t="shared" ca="1" si="118"/>
        <v>0</v>
      </c>
      <c r="V310" s="306">
        <f t="shared" ca="1" si="119"/>
        <v>1.070506384262758</v>
      </c>
      <c r="W310" s="304">
        <f t="shared" ca="1" si="120"/>
        <v>5.4284771012596584</v>
      </c>
      <c r="Y310" s="314" t="str">
        <f t="shared" ca="1" si="138"/>
        <v/>
      </c>
      <c r="Z310" s="315" t="str">
        <f t="shared" ca="1" si="139"/>
        <v/>
      </c>
      <c r="AA310" s="316" t="str">
        <f t="shared" ca="1" si="140"/>
        <v/>
      </c>
      <c r="AC310" s="310" t="e">
        <f t="shared" ca="1" si="141"/>
        <v>#N/A</v>
      </c>
      <c r="AD310" s="323" t="e">
        <f t="shared" ca="1" si="142"/>
        <v>#N/A</v>
      </c>
      <c r="AE310" s="324">
        <f t="shared" ca="1" si="121"/>
        <v>1346.0525903687308</v>
      </c>
      <c r="AG310" s="306">
        <f t="shared" ca="1" si="143"/>
        <v>-8.6651382649517021</v>
      </c>
      <c r="AH310" s="304">
        <f t="shared" ca="1" si="144"/>
        <v>-0.75762165668787984</v>
      </c>
    </row>
    <row r="311" spans="1:34" x14ac:dyDescent="0.2">
      <c r="A311" s="347">
        <f t="shared" ca="1" si="122"/>
        <v>0.1</v>
      </c>
      <c r="B311" s="304">
        <f t="shared" ca="1" si="123"/>
        <v>12.699999999999973</v>
      </c>
      <c r="D311" s="306">
        <f t="shared" ca="1" si="124"/>
        <v>-0.43795573586204301</v>
      </c>
      <c r="E311" s="307">
        <f t="shared" ca="1" si="125"/>
        <v>-10.388689940412</v>
      </c>
      <c r="F311" s="304">
        <f t="shared" ca="1" si="126"/>
        <v>10.397917286870095</v>
      </c>
      <c r="G311" s="306">
        <f t="shared" ca="1" si="127"/>
        <v>24.08302562742503</v>
      </c>
      <c r="H311" s="307">
        <f t="shared" ca="1" si="128"/>
        <v>30.840948028248498</v>
      </c>
      <c r="I311" s="304">
        <f t="shared" ca="1" si="129"/>
        <v>39.129991038234799</v>
      </c>
      <c r="J311" s="306">
        <f t="shared" ca="1" si="130"/>
        <v>370.8271793358947</v>
      </c>
      <c r="K311" s="307">
        <f t="shared" ca="1" si="131"/>
        <v>1349.1886286212577</v>
      </c>
      <c r="L311" s="304">
        <f t="shared" ca="1" si="116"/>
        <v>1399.2221955554901</v>
      </c>
      <c r="M311" s="306">
        <f t="shared" ca="1" si="132"/>
        <v>0.90782422386836481</v>
      </c>
      <c r="N311" s="304">
        <f t="shared" ca="1" si="133"/>
        <v>52.014496567396918</v>
      </c>
      <c r="P311" s="310">
        <f t="shared" ca="1" si="134"/>
        <v>23</v>
      </c>
      <c r="Q311" s="304">
        <f t="shared" ca="1" si="135"/>
        <v>0</v>
      </c>
      <c r="R311" s="306">
        <f t="shared" ca="1" si="136"/>
        <v>0</v>
      </c>
      <c r="S311" s="307">
        <f t="shared" ca="1" si="137"/>
        <v>7.4799999999999969</v>
      </c>
      <c r="T311" s="304">
        <f t="shared" ca="1" si="117"/>
        <v>73.37879999999997</v>
      </c>
      <c r="U311" s="311">
        <f t="shared" ca="1" si="118"/>
        <v>0</v>
      </c>
      <c r="V311" s="306">
        <f t="shared" ca="1" si="119"/>
        <v>1.0701691913157474</v>
      </c>
      <c r="W311" s="304">
        <f t="shared" ca="1" si="120"/>
        <v>5.1983808071767248</v>
      </c>
      <c r="Y311" s="314" t="str">
        <f t="shared" ca="1" si="138"/>
        <v/>
      </c>
      <c r="Z311" s="315" t="str">
        <f t="shared" ca="1" si="139"/>
        <v/>
      </c>
      <c r="AA311" s="316" t="str">
        <f t="shared" ca="1" si="140"/>
        <v/>
      </c>
      <c r="AC311" s="310" t="e">
        <f t="shared" ca="1" si="141"/>
        <v>#N/A</v>
      </c>
      <c r="AD311" s="323" t="e">
        <f t="shared" ca="1" si="142"/>
        <v>#N/A</v>
      </c>
      <c r="AE311" s="324">
        <f t="shared" ca="1" si="121"/>
        <v>1349.1886286212577</v>
      </c>
      <c r="AG311" s="306">
        <f t="shared" ca="1" si="143"/>
        <v>-8.5481053601710855</v>
      </c>
      <c r="AH311" s="304">
        <f t="shared" ca="1" si="144"/>
        <v>-0.72573223278872467</v>
      </c>
    </row>
    <row r="312" spans="1:34" x14ac:dyDescent="0.2">
      <c r="A312" s="347">
        <f t="shared" ca="1" si="122"/>
        <v>0.1</v>
      </c>
      <c r="B312" s="304">
        <f t="shared" ca="1" si="123"/>
        <v>12.799999999999972</v>
      </c>
      <c r="D312" s="306">
        <f t="shared" ca="1" si="124"/>
        <v>-0.42772810934851468</v>
      </c>
      <c r="E312" s="307">
        <f t="shared" ca="1" si="125"/>
        <v>-10.357752620236239</v>
      </c>
      <c r="F312" s="304">
        <f t="shared" ca="1" si="126"/>
        <v>10.366580471762978</v>
      </c>
      <c r="G312" s="306">
        <f t="shared" ca="1" si="127"/>
        <v>24.040252816490177</v>
      </c>
      <c r="H312" s="307">
        <f t="shared" ca="1" si="128"/>
        <v>29.805172766224874</v>
      </c>
      <c r="I312" s="304">
        <f t="shared" ca="1" si="129"/>
        <v>38.292062873463436</v>
      </c>
      <c r="J312" s="306">
        <f t="shared" ca="1" si="130"/>
        <v>373.23334325809049</v>
      </c>
      <c r="K312" s="307">
        <f t="shared" ca="1" si="131"/>
        <v>1352.2209346609814</v>
      </c>
      <c r="L312" s="304">
        <f t="shared" ca="1" si="116"/>
        <v>1402.7845824127915</v>
      </c>
      <c r="M312" s="306">
        <f t="shared" ca="1" si="132"/>
        <v>0.89205611752513203</v>
      </c>
      <c r="N312" s="304">
        <f t="shared" ca="1" si="133"/>
        <v>51.111050623016219</v>
      </c>
      <c r="P312" s="310">
        <f t="shared" ca="1" si="134"/>
        <v>23</v>
      </c>
      <c r="Q312" s="304">
        <f t="shared" ca="1" si="135"/>
        <v>0</v>
      </c>
      <c r="R312" s="306">
        <f t="shared" ca="1" si="136"/>
        <v>0</v>
      </c>
      <c r="S312" s="307">
        <f t="shared" ca="1" si="137"/>
        <v>7.4799999999999969</v>
      </c>
      <c r="T312" s="304">
        <f t="shared" ca="1" si="117"/>
        <v>73.37879999999997</v>
      </c>
      <c r="U312" s="311">
        <f t="shared" ca="1" si="118"/>
        <v>0</v>
      </c>
      <c r="V312" s="306">
        <f t="shared" ca="1" si="119"/>
        <v>1.0698432460465264</v>
      </c>
      <c r="W312" s="304">
        <f t="shared" ca="1" si="120"/>
        <v>4.9766124942912988</v>
      </c>
      <c r="Y312" s="314" t="str">
        <f t="shared" ca="1" si="138"/>
        <v/>
      </c>
      <c r="Z312" s="315" t="str">
        <f t="shared" ca="1" si="139"/>
        <v/>
      </c>
      <c r="AA312" s="316" t="str">
        <f t="shared" ca="1" si="140"/>
        <v/>
      </c>
      <c r="AC312" s="310" t="e">
        <f t="shared" ca="1" si="141"/>
        <v>#N/A</v>
      </c>
      <c r="AD312" s="323" t="e">
        <f t="shared" ca="1" si="142"/>
        <v>#N/A</v>
      </c>
      <c r="AE312" s="324">
        <f t="shared" ca="1" si="121"/>
        <v>1352.2209346609814</v>
      </c>
      <c r="AG312" s="306">
        <f t="shared" ca="1" si="143"/>
        <v>-8.426884047762</v>
      </c>
      <c r="AH312" s="304">
        <f t="shared" ca="1" si="144"/>
        <v>-0.69497069614662121</v>
      </c>
    </row>
    <row r="313" spans="1:34" x14ac:dyDescent="0.2">
      <c r="A313" s="347">
        <f t="shared" ca="1" si="122"/>
        <v>0.1</v>
      </c>
      <c r="B313" s="304">
        <f t="shared" ca="1" si="123"/>
        <v>12.899999999999972</v>
      </c>
      <c r="D313" s="306">
        <f t="shared" ca="1" si="124"/>
        <v>-0.41769809534141511</v>
      </c>
      <c r="E313" s="307">
        <f t="shared" ca="1" si="125"/>
        <v>-10.327863268361067</v>
      </c>
      <c r="F313" s="304">
        <f t="shared" ca="1" si="126"/>
        <v>10.336306467438627</v>
      </c>
      <c r="G313" s="306">
        <f t="shared" ca="1" si="127"/>
        <v>23.998483006956036</v>
      </c>
      <c r="H313" s="307">
        <f t="shared" ca="1" si="128"/>
        <v>28.772386439388768</v>
      </c>
      <c r="I313" s="304">
        <f t="shared" ca="1" si="129"/>
        <v>37.467017602855449</v>
      </c>
      <c r="J313" s="306">
        <f t="shared" ca="1" si="130"/>
        <v>375.6352800492628</v>
      </c>
      <c r="K313" s="307">
        <f t="shared" ca="1" si="131"/>
        <v>1355.1498126212621</v>
      </c>
      <c r="L313" s="304">
        <f t="shared" ca="1" si="116"/>
        <v>1406.2478011592159</v>
      </c>
      <c r="M313" s="306">
        <f t="shared" ca="1" si="132"/>
        <v>0.87561733270880349</v>
      </c>
      <c r="N313" s="304">
        <f t="shared" ca="1" si="133"/>
        <v>50.169177632716853</v>
      </c>
      <c r="P313" s="310">
        <f t="shared" ca="1" si="134"/>
        <v>23</v>
      </c>
      <c r="Q313" s="304">
        <f t="shared" ca="1" si="135"/>
        <v>0</v>
      </c>
      <c r="R313" s="306">
        <f t="shared" ca="1" si="136"/>
        <v>0</v>
      </c>
      <c r="S313" s="307">
        <f t="shared" ca="1" si="137"/>
        <v>7.4799999999999969</v>
      </c>
      <c r="T313" s="304">
        <f t="shared" ca="1" si="117"/>
        <v>73.37879999999997</v>
      </c>
      <c r="U313" s="311">
        <f t="shared" ca="1" si="118"/>
        <v>0</v>
      </c>
      <c r="V313" s="306">
        <f t="shared" ca="1" si="119"/>
        <v>1.0695285062360067</v>
      </c>
      <c r="W313" s="304">
        <f t="shared" ca="1" si="120"/>
        <v>4.7630677907234347</v>
      </c>
      <c r="Y313" s="314" t="str">
        <f t="shared" ca="1" si="138"/>
        <v/>
      </c>
      <c r="Z313" s="315" t="str">
        <f t="shared" ca="1" si="139"/>
        <v/>
      </c>
      <c r="AA313" s="316" t="str">
        <f t="shared" ca="1" si="140"/>
        <v/>
      </c>
      <c r="AC313" s="310" t="e">
        <f t="shared" ca="1" si="141"/>
        <v>#N/A</v>
      </c>
      <c r="AD313" s="323" t="e">
        <f t="shared" ca="1" si="142"/>
        <v>#N/A</v>
      </c>
      <c r="AE313" s="324">
        <f t="shared" ca="1" si="121"/>
        <v>1355.1498126212621</v>
      </c>
      <c r="AG313" s="306">
        <f t="shared" ca="1" si="143"/>
        <v>-8.301075809961274</v>
      </c>
      <c r="AH313" s="304">
        <f t="shared" ca="1" si="144"/>
        <v>-0.66532252597477282</v>
      </c>
    </row>
    <row r="314" spans="1:34" x14ac:dyDescent="0.2">
      <c r="A314" s="347">
        <f t="shared" ca="1" si="122"/>
        <v>0.1</v>
      </c>
      <c r="B314" s="304">
        <f t="shared" ca="1" si="123"/>
        <v>12.999999999999972</v>
      </c>
      <c r="D314" s="306">
        <f t="shared" ca="1" si="124"/>
        <v>-0.40786818508277878</v>
      </c>
      <c r="E314" s="307">
        <f t="shared" ca="1" si="125"/>
        <v>-10.299003452182054</v>
      </c>
      <c r="F314" s="304">
        <f t="shared" ca="1" si="126"/>
        <v>10.307076625525815</v>
      </c>
      <c r="G314" s="306">
        <f t="shared" ca="1" si="127"/>
        <v>23.957696188447759</v>
      </c>
      <c r="H314" s="307">
        <f t="shared" ca="1" si="128"/>
        <v>27.742486094170562</v>
      </c>
      <c r="I314" s="304">
        <f t="shared" ca="1" si="129"/>
        <v>36.65537806848009</v>
      </c>
      <c r="J314" s="306">
        <f t="shared" ca="1" si="130"/>
        <v>378.03308900903301</v>
      </c>
      <c r="K314" s="307">
        <f t="shared" ca="1" si="131"/>
        <v>1357.9755562479399</v>
      </c>
      <c r="L314" s="304">
        <f t="shared" ca="1" si="116"/>
        <v>1409.6122260226794</v>
      </c>
      <c r="M314" s="306">
        <f t="shared" ca="1" si="132"/>
        <v>0.8584743162584727</v>
      </c>
      <c r="N314" s="304">
        <f t="shared" ca="1" si="133"/>
        <v>49.186955141989557</v>
      </c>
      <c r="P314" s="310">
        <f t="shared" ca="1" si="134"/>
        <v>23</v>
      </c>
      <c r="Q314" s="304">
        <f t="shared" ca="1" si="135"/>
        <v>0</v>
      </c>
      <c r="R314" s="306">
        <f t="shared" ca="1" si="136"/>
        <v>0</v>
      </c>
      <c r="S314" s="307">
        <f t="shared" ca="1" si="137"/>
        <v>7.4799999999999969</v>
      </c>
      <c r="T314" s="304">
        <f t="shared" ca="1" si="117"/>
        <v>73.37879999999997</v>
      </c>
      <c r="U314" s="311">
        <f t="shared" ca="1" si="118"/>
        <v>0</v>
      </c>
      <c r="V314" s="306">
        <f t="shared" ca="1" si="119"/>
        <v>1.0692249311482998</v>
      </c>
      <c r="W314" s="304">
        <f t="shared" ca="1" si="120"/>
        <v>4.5576464508141727</v>
      </c>
      <c r="Y314" s="314" t="str">
        <f t="shared" ca="1" si="138"/>
        <v/>
      </c>
      <c r="Z314" s="315" t="str">
        <f t="shared" ca="1" si="139"/>
        <v/>
      </c>
      <c r="AA314" s="316" t="str">
        <f t="shared" ca="1" si="140"/>
        <v/>
      </c>
      <c r="AC314" s="310">
        <f t="shared" ca="1" si="141"/>
        <v>12.999999999999972</v>
      </c>
      <c r="AD314" s="323">
        <f t="shared" ca="1" si="142"/>
        <v>378.03308900903301</v>
      </c>
      <c r="AE314" s="324">
        <f t="shared" ca="1" si="121"/>
        <v>1357.9755562479399</v>
      </c>
      <c r="AG314" s="306">
        <f t="shared" ca="1" si="143"/>
        <v>-8.1702559894235698</v>
      </c>
      <c r="AH314" s="304">
        <f t="shared" ca="1" si="144"/>
        <v>-0.63677376881329362</v>
      </c>
    </row>
    <row r="315" spans="1:34" x14ac:dyDescent="0.2">
      <c r="A315" s="347">
        <f t="shared" ca="1" si="122"/>
        <v>0.1</v>
      </c>
      <c r="B315" s="304">
        <f t="shared" ca="1" si="123"/>
        <v>13.099999999999971</v>
      </c>
      <c r="D315" s="306">
        <f t="shared" ca="1" si="124"/>
        <v>-0.39824138062656189</v>
      </c>
      <c r="E315" s="307">
        <f t="shared" ca="1" si="125"/>
        <v>-10.271154773699946</v>
      </c>
      <c r="F315" s="304">
        <f t="shared" ca="1" si="126"/>
        <v>10.278872340025561</v>
      </c>
      <c r="G315" s="306">
        <f t="shared" ca="1" si="127"/>
        <v>23.917872050385103</v>
      </c>
      <c r="H315" s="307">
        <f t="shared" ca="1" si="128"/>
        <v>26.715370616800566</v>
      </c>
      <c r="I315" s="304">
        <f t="shared" ca="1" si="129"/>
        <v>35.857713683552163</v>
      </c>
      <c r="J315" s="306">
        <f t="shared" ca="1" si="130"/>
        <v>380.42686742097465</v>
      </c>
      <c r="K315" s="307">
        <f t="shared" ca="1" si="131"/>
        <v>1360.6984490834884</v>
      </c>
      <c r="L315" s="304">
        <f t="shared" ca="1" si="116"/>
        <v>1412.8782222095244</v>
      </c>
      <c r="M315" s="306">
        <f t="shared" ca="1" si="132"/>
        <v>0.84059228259933438</v>
      </c>
      <c r="N315" s="304">
        <f t="shared" ca="1" si="133"/>
        <v>48.162390084210053</v>
      </c>
      <c r="P315" s="310">
        <f t="shared" ca="1" si="134"/>
        <v>23</v>
      </c>
      <c r="Q315" s="304">
        <f t="shared" ca="1" si="135"/>
        <v>0</v>
      </c>
      <c r="R315" s="306">
        <f t="shared" ca="1" si="136"/>
        <v>0</v>
      </c>
      <c r="S315" s="307">
        <f t="shared" ca="1" si="137"/>
        <v>7.4799999999999969</v>
      </c>
      <c r="T315" s="304">
        <f t="shared" ca="1" si="117"/>
        <v>73.37879999999997</v>
      </c>
      <c r="U315" s="311">
        <f t="shared" ca="1" si="118"/>
        <v>0</v>
      </c>
      <c r="V315" s="306">
        <f t="shared" ca="1" si="119"/>
        <v>1.0689324815056513</v>
      </c>
      <c r="W315" s="304">
        <f t="shared" ca="1" si="120"/>
        <v>4.3602522413833382</v>
      </c>
      <c r="Y315" s="314" t="str">
        <f t="shared" ca="1" si="138"/>
        <v/>
      </c>
      <c r="Z315" s="315" t="str">
        <f t="shared" ca="1" si="139"/>
        <v/>
      </c>
      <c r="AA315" s="316" t="str">
        <f t="shared" ca="1" si="140"/>
        <v/>
      </c>
      <c r="AC315" s="310" t="e">
        <f t="shared" ca="1" si="141"/>
        <v>#N/A</v>
      </c>
      <c r="AD315" s="323" t="e">
        <f t="shared" ca="1" si="142"/>
        <v>#N/A</v>
      </c>
      <c r="AE315" s="324">
        <f t="shared" ca="1" si="121"/>
        <v>1360.6984490834884</v>
      </c>
      <c r="AG315" s="306">
        <f t="shared" ca="1" si="143"/>
        <v>-8.0339729121602907</v>
      </c>
      <c r="AH315" s="304">
        <f t="shared" ca="1" si="144"/>
        <v>-0.6093110228361196</v>
      </c>
    </row>
    <row r="316" spans="1:34" x14ac:dyDescent="0.2">
      <c r="A316" s="347">
        <f t="shared" ca="1" si="122"/>
        <v>0.1</v>
      </c>
      <c r="B316" s="304">
        <f t="shared" ca="1" si="123"/>
        <v>13.199999999999971</v>
      </c>
      <c r="D316" s="306">
        <f t="shared" ca="1" si="124"/>
        <v>-0.38882122059675012</v>
      </c>
      <c r="E316" s="307">
        <f t="shared" ca="1" si="125"/>
        <v>-10.244298795061566</v>
      </c>
      <c r="F316" s="304">
        <f t="shared" ca="1" si="126"/>
        <v>10.251674972612339</v>
      </c>
      <c r="G316" s="306">
        <f t="shared" ca="1" si="127"/>
        <v>23.878989928325428</v>
      </c>
      <c r="H316" s="307">
        <f t="shared" ca="1" si="128"/>
        <v>25.690940737294408</v>
      </c>
      <c r="I316" s="304">
        <f t="shared" ca="1" si="129"/>
        <v>35.074643205088208</v>
      </c>
      <c r="J316" s="306">
        <f t="shared" ca="1" si="130"/>
        <v>382.81671051991015</v>
      </c>
      <c r="K316" s="307">
        <f t="shared" ca="1" si="131"/>
        <v>1363.3187646511931</v>
      </c>
      <c r="L316" s="304">
        <f t="shared" ca="1" si="116"/>
        <v>1416.0461461065947</v>
      </c>
      <c r="M316" s="306">
        <f t="shared" ca="1" si="132"/>
        <v>0.82193532244770584</v>
      </c>
      <c r="N316" s="304">
        <f t="shared" ca="1" si="133"/>
        <v>47.093425008977981</v>
      </c>
      <c r="P316" s="310">
        <f t="shared" ca="1" si="134"/>
        <v>23</v>
      </c>
      <c r="Q316" s="304">
        <f t="shared" ca="1" si="135"/>
        <v>0</v>
      </c>
      <c r="R316" s="306">
        <f t="shared" ca="1" si="136"/>
        <v>0</v>
      </c>
      <c r="S316" s="307">
        <f t="shared" ca="1" si="137"/>
        <v>7.4799999999999969</v>
      </c>
      <c r="T316" s="304">
        <f t="shared" ca="1" si="117"/>
        <v>73.37879999999997</v>
      </c>
      <c r="U316" s="311">
        <f t="shared" ca="1" si="118"/>
        <v>0</v>
      </c>
      <c r="V316" s="306">
        <f t="shared" ca="1" si="119"/>
        <v>1.0686511194636026</v>
      </c>
      <c r="W316" s="304">
        <f t="shared" ca="1" si="120"/>
        <v>4.1707928312921778</v>
      </c>
      <c r="Y316" s="314" t="str">
        <f t="shared" ca="1" si="138"/>
        <v/>
      </c>
      <c r="Z316" s="315" t="str">
        <f t="shared" ca="1" si="139"/>
        <v/>
      </c>
      <c r="AA316" s="316" t="str">
        <f t="shared" ca="1" si="140"/>
        <v/>
      </c>
      <c r="AC316" s="310" t="e">
        <f t="shared" ca="1" si="141"/>
        <v>#N/A</v>
      </c>
      <c r="AD316" s="323" t="e">
        <f t="shared" ca="1" si="142"/>
        <v>#N/A</v>
      </c>
      <c r="AE316" s="324">
        <f t="shared" ca="1" si="121"/>
        <v>1363.3187646511931</v>
      </c>
      <c r="AG316" s="306">
        <f t="shared" ca="1" si="143"/>
        <v>-7.891747302166201</v>
      </c>
      <c r="AH316" s="304">
        <f t="shared" ca="1" si="144"/>
        <v>-0.5829214226448316</v>
      </c>
    </row>
    <row r="317" spans="1:34" x14ac:dyDescent="0.2">
      <c r="A317" s="347">
        <f t="shared" ca="1" si="122"/>
        <v>0.1</v>
      </c>
      <c r="B317" s="304">
        <f t="shared" ca="1" si="123"/>
        <v>13.299999999999971</v>
      </c>
      <c r="D317" s="306">
        <f t="shared" ca="1" si="124"/>
        <v>-0.37961180636372732</v>
      </c>
      <c r="E317" s="307">
        <f t="shared" ca="1" si="125"/>
        <v>-10.218416957741551</v>
      </c>
      <c r="F317" s="304">
        <f t="shared" ca="1" si="126"/>
        <v>10.225465771581794</v>
      </c>
      <c r="G317" s="306">
        <f t="shared" ca="1" si="127"/>
        <v>23.841028747689055</v>
      </c>
      <c r="H317" s="307">
        <f t="shared" ca="1" si="128"/>
        <v>24.669099041520251</v>
      </c>
      <c r="I317" s="304">
        <f t="shared" ca="1" si="129"/>
        <v>34.306837500248712</v>
      </c>
      <c r="J317" s="306">
        <f t="shared" ca="1" si="130"/>
        <v>385.20271145371089</v>
      </c>
      <c r="K317" s="307">
        <f t="shared" ca="1" si="131"/>
        <v>1365.8367666401339</v>
      </c>
      <c r="L317" s="304">
        <f t="shared" ca="1" si="116"/>
        <v>1419.1163454830848</v>
      </c>
      <c r="M317" s="306">
        <f t="shared" ca="1" si="132"/>
        <v>0.80246655542393863</v>
      </c>
      <c r="N317" s="304">
        <f t="shared" ca="1" si="133"/>
        <v>45.977946826192643</v>
      </c>
      <c r="P317" s="310">
        <f t="shared" ca="1" si="134"/>
        <v>23</v>
      </c>
      <c r="Q317" s="304">
        <f t="shared" ca="1" si="135"/>
        <v>0</v>
      </c>
      <c r="R317" s="306">
        <f t="shared" ca="1" si="136"/>
        <v>0</v>
      </c>
      <c r="S317" s="307">
        <f t="shared" ca="1" si="137"/>
        <v>7.4799999999999969</v>
      </c>
      <c r="T317" s="304">
        <f t="shared" ca="1" si="117"/>
        <v>73.37879999999997</v>
      </c>
      <c r="U317" s="311">
        <f t="shared" ca="1" si="118"/>
        <v>0</v>
      </c>
      <c r="V317" s="306">
        <f t="shared" ca="1" si="119"/>
        <v>1.0683808085862976</v>
      </c>
      <c r="W317" s="304">
        <f t="shared" ca="1" si="120"/>
        <v>3.9891796839653981</v>
      </c>
      <c r="Y317" s="314" t="str">
        <f t="shared" ca="1" si="138"/>
        <v/>
      </c>
      <c r="Z317" s="315" t="str">
        <f t="shared" ca="1" si="139"/>
        <v/>
      </c>
      <c r="AA317" s="316" t="str">
        <f t="shared" ca="1" si="140"/>
        <v/>
      </c>
      <c r="AC317" s="310" t="e">
        <f t="shared" ca="1" si="141"/>
        <v>#N/A</v>
      </c>
      <c r="AD317" s="323" t="e">
        <f t="shared" ca="1" si="142"/>
        <v>#N/A</v>
      </c>
      <c r="AE317" s="324">
        <f t="shared" ca="1" si="121"/>
        <v>1365.8367666401339</v>
      </c>
      <c r="AG317" s="306">
        <f t="shared" ca="1" si="143"/>
        <v>-7.7430720935099036</v>
      </c>
      <c r="AH317" s="304">
        <f t="shared" ca="1" si="144"/>
        <v>-0.55759262450430203</v>
      </c>
    </row>
    <row r="318" spans="1:34" x14ac:dyDescent="0.2">
      <c r="A318" s="347">
        <f t="shared" ca="1" si="122"/>
        <v>0.1</v>
      </c>
      <c r="B318" s="304">
        <f t="shared" ca="1" si="123"/>
        <v>13.39999999999997</v>
      </c>
      <c r="D318" s="306">
        <f t="shared" ca="1" si="124"/>
        <v>-0.37061782814781119</v>
      </c>
      <c r="E318" s="307">
        <f t="shared" ca="1" si="125"/>
        <v>-10.193490494721949</v>
      </c>
      <c r="F318" s="304">
        <f t="shared" ca="1" si="126"/>
        <v>10.200225783801441</v>
      </c>
      <c r="G318" s="306">
        <f t="shared" ca="1" si="127"/>
        <v>23.803966964874274</v>
      </c>
      <c r="H318" s="307">
        <f t="shared" ca="1" si="128"/>
        <v>23.649749992048058</v>
      </c>
      <c r="I318" s="304">
        <f t="shared" ca="1" si="129"/>
        <v>33.555022246322572</v>
      </c>
      <c r="J318" s="306">
        <f t="shared" ca="1" si="130"/>
        <v>387.58496123933907</v>
      </c>
      <c r="K318" s="307">
        <f t="shared" ca="1" si="131"/>
        <v>1368.2527090918122</v>
      </c>
      <c r="L318" s="304">
        <f t="shared" ca="1" si="116"/>
        <v>1422.0891596928736</v>
      </c>
      <c r="M318" s="306">
        <f t="shared" ca="1" si="132"/>
        <v>0.78214833514793614</v>
      </c>
      <c r="N318" s="304">
        <f t="shared" ca="1" si="133"/>
        <v>44.813798557160567</v>
      </c>
      <c r="P318" s="310">
        <f t="shared" ca="1" si="134"/>
        <v>23</v>
      </c>
      <c r="Q318" s="304">
        <f t="shared" ca="1" si="135"/>
        <v>0</v>
      </c>
      <c r="R318" s="306">
        <f t="shared" ca="1" si="136"/>
        <v>0</v>
      </c>
      <c r="S318" s="307">
        <f t="shared" ca="1" si="137"/>
        <v>7.4799999999999969</v>
      </c>
      <c r="T318" s="304">
        <f t="shared" ca="1" si="117"/>
        <v>73.37879999999997</v>
      </c>
      <c r="U318" s="311">
        <f t="shared" ca="1" si="118"/>
        <v>0</v>
      </c>
      <c r="V318" s="306">
        <f t="shared" ca="1" si="119"/>
        <v>1.0681215138218283</v>
      </c>
      <c r="W318" s="304">
        <f t="shared" ca="1" si="120"/>
        <v>3.8153279525166428</v>
      </c>
      <c r="Y318" s="314" t="str">
        <f t="shared" ca="1" si="138"/>
        <v/>
      </c>
      <c r="Z318" s="315" t="str">
        <f t="shared" ca="1" si="139"/>
        <v/>
      </c>
      <c r="AA318" s="316" t="str">
        <f t="shared" ca="1" si="140"/>
        <v/>
      </c>
      <c r="AC318" s="310" t="e">
        <f t="shared" ca="1" si="141"/>
        <v>#N/A</v>
      </c>
      <c r="AD318" s="323" t="e">
        <f t="shared" ca="1" si="142"/>
        <v>#N/A</v>
      </c>
      <c r="AE318" s="324">
        <f t="shared" ca="1" si="121"/>
        <v>1368.2527090918122</v>
      </c>
      <c r="AG318" s="306">
        <f t="shared" ca="1" si="143"/>
        <v>-7.5874127682705241</v>
      </c>
      <c r="AH318" s="304">
        <f t="shared" ca="1" si="144"/>
        <v>-0.53331279197398396</v>
      </c>
    </row>
    <row r="319" spans="1:34" x14ac:dyDescent="0.2">
      <c r="A319" s="347">
        <f t="shared" ca="1" si="122"/>
        <v>0.1</v>
      </c>
      <c r="B319" s="304">
        <f t="shared" ca="1" si="123"/>
        <v>13.49999999999997</v>
      </c>
      <c r="D319" s="306">
        <f t="shared" ca="1" si="124"/>
        <v>-0.36184459041236372</v>
      </c>
      <c r="E319" s="307">
        <f t="shared" ca="1" si="125"/>
        <v>-10.169500335043111</v>
      </c>
      <c r="F319" s="304">
        <f t="shared" ca="1" si="126"/>
        <v>10.175935759037232</v>
      </c>
      <c r="G319" s="306">
        <f t="shared" ca="1" si="127"/>
        <v>23.767782505833036</v>
      </c>
      <c r="H319" s="307">
        <f t="shared" ca="1" si="128"/>
        <v>22.632799958543746</v>
      </c>
      <c r="I319" s="304">
        <f t="shared" ca="1" si="129"/>
        <v>32.819980487624314</v>
      </c>
      <c r="J319" s="306">
        <f t="shared" ca="1" si="130"/>
        <v>389.96354871287446</v>
      </c>
      <c r="K319" s="307">
        <f t="shared" ca="1" si="131"/>
        <v>1370.5668365893418</v>
      </c>
      <c r="L319" s="304">
        <f t="shared" ca="1" si="116"/>
        <v>1424.964919878119</v>
      </c>
      <c r="M319" s="306">
        <f t="shared" ca="1" si="132"/>
        <v>0.76094251632622201</v>
      </c>
      <c r="N319" s="304">
        <f t="shared" ca="1" si="133"/>
        <v>43.598794637557262</v>
      </c>
      <c r="P319" s="310">
        <f t="shared" ca="1" si="134"/>
        <v>23</v>
      </c>
      <c r="Q319" s="304">
        <f t="shared" ca="1" si="135"/>
        <v>0</v>
      </c>
      <c r="R319" s="306">
        <f t="shared" ca="1" si="136"/>
        <v>0</v>
      </c>
      <c r="S319" s="307">
        <f t="shared" ca="1" si="137"/>
        <v>7.4799999999999969</v>
      </c>
      <c r="T319" s="304">
        <f t="shared" ca="1" si="117"/>
        <v>73.37879999999997</v>
      </c>
      <c r="U319" s="311">
        <f t="shared" ca="1" si="118"/>
        <v>0</v>
      </c>
      <c r="V319" s="306">
        <f t="shared" ca="1" si="119"/>
        <v>1.0678732014775236</v>
      </c>
      <c r="W319" s="304">
        <f t="shared" ca="1" si="120"/>
        <v>3.6491563771091702</v>
      </c>
      <c r="Y319" s="314" t="str">
        <f t="shared" ca="1" si="138"/>
        <v/>
      </c>
      <c r="Z319" s="315" t="str">
        <f t="shared" ca="1" si="139"/>
        <v/>
      </c>
      <c r="AA319" s="316" t="str">
        <f t="shared" ca="1" si="140"/>
        <v/>
      </c>
      <c r="AC319" s="310" t="e">
        <f t="shared" ca="1" si="141"/>
        <v>#N/A</v>
      </c>
      <c r="AD319" s="323" t="e">
        <f t="shared" ca="1" si="142"/>
        <v>#N/A</v>
      </c>
      <c r="AE319" s="324">
        <f t="shared" ca="1" si="121"/>
        <v>1370.5668365893418</v>
      </c>
      <c r="AG319" s="306">
        <f t="shared" ca="1" si="143"/>
        <v>-7.4242083738065432</v>
      </c>
      <c r="AH319" s="304">
        <f t="shared" ca="1" si="144"/>
        <v>-0.51007058188725196</v>
      </c>
    </row>
    <row r="320" spans="1:34" x14ac:dyDescent="0.2">
      <c r="A320" s="347">
        <f t="shared" ca="1" si="122"/>
        <v>0.1</v>
      </c>
      <c r="B320" s="304">
        <f t="shared" ca="1" si="123"/>
        <v>13.599999999999969</v>
      </c>
      <c r="D320" s="306">
        <f t="shared" ca="1" si="124"/>
        <v>-0.3532980357355987</v>
      </c>
      <c r="E320" s="307">
        <f t="shared" ca="1" si="125"/>
        <v>-10.146427000145591</v>
      </c>
      <c r="F320" s="304">
        <f t="shared" ca="1" si="126"/>
        <v>10.15257604607511</v>
      </c>
      <c r="G320" s="306">
        <f t="shared" ca="1" si="127"/>
        <v>23.732452702259476</v>
      </c>
      <c r="H320" s="307">
        <f t="shared" ca="1" si="128"/>
        <v>21.618157258529187</v>
      </c>
      <c r="I320" s="304">
        <f t="shared" ca="1" si="129"/>
        <v>32.102554953141677</v>
      </c>
      <c r="J320" s="306">
        <f t="shared" ca="1" si="130"/>
        <v>392.33856047327907</v>
      </c>
      <c r="K320" s="307">
        <f t="shared" ca="1" si="131"/>
        <v>1372.7793844501955</v>
      </c>
      <c r="L320" s="304">
        <f t="shared" ca="1" si="116"/>
        <v>1427.7439491749572</v>
      </c>
      <c r="M320" s="306">
        <f t="shared" ca="1" si="132"/>
        <v>0.73881079414462048</v>
      </c>
      <c r="N320" s="304">
        <f t="shared" ca="1" si="133"/>
        <v>42.330740363195424</v>
      </c>
      <c r="P320" s="310">
        <f t="shared" ca="1" si="134"/>
        <v>23</v>
      </c>
      <c r="Q320" s="304">
        <f t="shared" ca="1" si="135"/>
        <v>0</v>
      </c>
      <c r="R320" s="306">
        <f t="shared" ca="1" si="136"/>
        <v>0</v>
      </c>
      <c r="S320" s="307">
        <f t="shared" ca="1" si="137"/>
        <v>7.4799999999999969</v>
      </c>
      <c r="T320" s="304">
        <f t="shared" ca="1" si="117"/>
        <v>73.37879999999997</v>
      </c>
      <c r="U320" s="311">
        <f t="shared" ca="1" si="118"/>
        <v>0</v>
      </c>
      <c r="V320" s="306">
        <f t="shared" ca="1" si="119"/>
        <v>1.0676358391950673</v>
      </c>
      <c r="W320" s="304">
        <f t="shared" ca="1" si="120"/>
        <v>3.4905871841688452</v>
      </c>
      <c r="Y320" s="314" t="str">
        <f t="shared" ca="1" si="138"/>
        <v/>
      </c>
      <c r="Z320" s="315" t="str">
        <f t="shared" ca="1" si="139"/>
        <v/>
      </c>
      <c r="AA320" s="316" t="str">
        <f t="shared" ca="1" si="140"/>
        <v/>
      </c>
      <c r="AC320" s="310" t="e">
        <f t="shared" ca="1" si="141"/>
        <v>#N/A</v>
      </c>
      <c r="AD320" s="323" t="e">
        <f t="shared" ca="1" si="142"/>
        <v>#N/A</v>
      </c>
      <c r="AE320" s="324">
        <f t="shared" ca="1" si="121"/>
        <v>1372.7793844501955</v>
      </c>
      <c r="AG320" s="306">
        <f t="shared" ca="1" si="143"/>
        <v>-7.2528733998218948</v>
      </c>
      <c r="AH320" s="304">
        <f t="shared" ca="1" si="144"/>
        <v>-0.48785513062956842</v>
      </c>
    </row>
    <row r="321" spans="1:34" x14ac:dyDescent="0.2">
      <c r="A321" s="347">
        <f t="shared" ca="1" si="122"/>
        <v>0.1</v>
      </c>
      <c r="B321" s="304">
        <f t="shared" ca="1" si="123"/>
        <v>13.699999999999969</v>
      </c>
      <c r="D321" s="306">
        <f t="shared" ca="1" si="124"/>
        <v>-0.3449847661488068</v>
      </c>
      <c r="E321" s="307">
        <f t="shared" ca="1" si="125"/>
        <v>-10.124250491509114</v>
      </c>
      <c r="F321" s="304">
        <f t="shared" ca="1" si="126"/>
        <v>10.130126480143142</v>
      </c>
      <c r="G321" s="306">
        <f t="shared" ca="1" si="127"/>
        <v>23.697954225644594</v>
      </c>
      <c r="H321" s="307">
        <f t="shared" ca="1" si="128"/>
        <v>20.605732209378274</v>
      </c>
      <c r="I321" s="304">
        <f t="shared" ca="1" si="129"/>
        <v>31.403650016604054</v>
      </c>
      <c r="J321" s="306">
        <f t="shared" ca="1" si="130"/>
        <v>394.71008081967426</v>
      </c>
      <c r="K321" s="307">
        <f t="shared" ca="1" si="131"/>
        <v>1374.890578923591</v>
      </c>
      <c r="L321" s="304">
        <f t="shared" ca="1" si="116"/>
        <v>1430.4265629222357</v>
      </c>
      <c r="M321" s="306">
        <f t="shared" ca="1" si="132"/>
        <v>0.71571512684018679</v>
      </c>
      <c r="N321" s="304">
        <f t="shared" ca="1" si="133"/>
        <v>41.007456101613087</v>
      </c>
      <c r="P321" s="310">
        <f t="shared" ca="1" si="134"/>
        <v>23</v>
      </c>
      <c r="Q321" s="304">
        <f t="shared" ca="1" si="135"/>
        <v>0</v>
      </c>
      <c r="R321" s="306">
        <f t="shared" ca="1" si="136"/>
        <v>0</v>
      </c>
      <c r="S321" s="307">
        <f t="shared" ca="1" si="137"/>
        <v>7.4799999999999969</v>
      </c>
      <c r="T321" s="304">
        <f t="shared" ca="1" si="117"/>
        <v>73.37879999999997</v>
      </c>
      <c r="U321" s="311">
        <f t="shared" ca="1" si="118"/>
        <v>0</v>
      </c>
      <c r="V321" s="306">
        <f t="shared" ca="1" si="119"/>
        <v>1.0674093959253181</v>
      </c>
      <c r="W321" s="304">
        <f t="shared" ca="1" si="120"/>
        <v>3.3395459870502888</v>
      </c>
      <c r="Y321" s="314" t="str">
        <f t="shared" ca="1" si="138"/>
        <v/>
      </c>
      <c r="Z321" s="315" t="str">
        <f t="shared" ca="1" si="139"/>
        <v/>
      </c>
      <c r="AA321" s="316" t="str">
        <f t="shared" ca="1" si="140"/>
        <v/>
      </c>
      <c r="AC321" s="310" t="e">
        <f t="shared" ca="1" si="141"/>
        <v>#N/A</v>
      </c>
      <c r="AD321" s="323" t="e">
        <f t="shared" ca="1" si="142"/>
        <v>#N/A</v>
      </c>
      <c r="AE321" s="324">
        <f t="shared" ca="1" si="121"/>
        <v>1374.890578923591</v>
      </c>
      <c r="AG321" s="306">
        <f t="shared" ca="1" si="143"/>
        <v>-7.0728007234075791</v>
      </c>
      <c r="AH321" s="304">
        <f t="shared" ca="1" si="144"/>
        <v>-0.46665604066428429</v>
      </c>
    </row>
    <row r="322" spans="1:34" x14ac:dyDescent="0.2">
      <c r="A322" s="347">
        <f t="shared" ca="1" si="122"/>
        <v>0.1</v>
      </c>
      <c r="B322" s="304">
        <f t="shared" ca="1" si="123"/>
        <v>13.799999999999969</v>
      </c>
      <c r="D322" s="306">
        <f t="shared" ca="1" si="124"/>
        <v>-0.33691206069956292</v>
      </c>
      <c r="E322" s="307">
        <f t="shared" ca="1" si="125"/>
        <v>-10.102950169233276</v>
      </c>
      <c r="F322" s="304">
        <f t="shared" ca="1" si="126"/>
        <v>10.108566261278376</v>
      </c>
      <c r="G322" s="306">
        <f t="shared" ca="1" si="127"/>
        <v>23.664263019574637</v>
      </c>
      <c r="H322" s="307">
        <f t="shared" ca="1" si="128"/>
        <v>19.595437192454948</v>
      </c>
      <c r="I322" s="304">
        <f t="shared" ca="1" si="129"/>
        <v>30.724233155980546</v>
      </c>
      <c r="J322" s="306">
        <f t="shared" ca="1" si="130"/>
        <v>397.07819168193521</v>
      </c>
      <c r="K322" s="307">
        <f t="shared" ca="1" si="131"/>
        <v>1376.9006373936827</v>
      </c>
      <c r="L322" s="304">
        <f t="shared" ca="1" si="116"/>
        <v>1433.0130688742952</v>
      </c>
      <c r="M322" s="306">
        <f t="shared" ca="1" si="132"/>
        <v>0.6916182524854384</v>
      </c>
      <c r="N322" s="304">
        <f t="shared" ca="1" si="133"/>
        <v>39.626806901628981</v>
      </c>
      <c r="P322" s="310">
        <f t="shared" ca="1" si="134"/>
        <v>23</v>
      </c>
      <c r="Q322" s="304">
        <f t="shared" ca="1" si="135"/>
        <v>0</v>
      </c>
      <c r="R322" s="306">
        <f t="shared" ca="1" si="136"/>
        <v>0</v>
      </c>
      <c r="S322" s="307">
        <f t="shared" ca="1" si="137"/>
        <v>7.4799999999999969</v>
      </c>
      <c r="T322" s="304">
        <f t="shared" ca="1" si="117"/>
        <v>73.37879999999997</v>
      </c>
      <c r="U322" s="311">
        <f t="shared" ca="1" si="118"/>
        <v>0</v>
      </c>
      <c r="V322" s="306">
        <f t="shared" ca="1" si="119"/>
        <v>1.067193841902714</v>
      </c>
      <c r="W322" s="304">
        <f t="shared" ca="1" si="120"/>
        <v>3.1959616877393233</v>
      </c>
      <c r="Y322" s="314" t="str">
        <f t="shared" ca="1" si="138"/>
        <v/>
      </c>
      <c r="Z322" s="315" t="str">
        <f t="shared" ca="1" si="139"/>
        <v/>
      </c>
      <c r="AA322" s="316" t="str">
        <f t="shared" ca="1" si="140"/>
        <v/>
      </c>
      <c r="AC322" s="310" t="e">
        <f t="shared" ca="1" si="141"/>
        <v>#N/A</v>
      </c>
      <c r="AD322" s="323" t="e">
        <f t="shared" ca="1" si="142"/>
        <v>#N/A</v>
      </c>
      <c r="AE322" s="324">
        <f t="shared" ca="1" si="121"/>
        <v>1376.9006373936827</v>
      </c>
      <c r="AG322" s="306">
        <f t="shared" ca="1" si="143"/>
        <v>-6.8833658568398217</v>
      </c>
      <c r="AH322" s="304">
        <f t="shared" ca="1" si="144"/>
        <v>-0.44646336725271257</v>
      </c>
    </row>
    <row r="323" spans="1:34" x14ac:dyDescent="0.2">
      <c r="A323" s="347">
        <f t="shared" ca="1" si="122"/>
        <v>0.1</v>
      </c>
      <c r="B323" s="304">
        <f t="shared" ca="1" si="123"/>
        <v>13.899999999999968</v>
      </c>
      <c r="D323" s="306">
        <f t="shared" ca="1" si="124"/>
        <v>-0.32908788774428543</v>
      </c>
      <c r="E323" s="307">
        <f t="shared" ca="1" si="125"/>
        <v>-10.082504621409788</v>
      </c>
      <c r="F323" s="304">
        <f t="shared" ca="1" si="126"/>
        <v>10.087873823487769</v>
      </c>
      <c r="G323" s="306">
        <f t="shared" ca="1" si="127"/>
        <v>23.631354230800209</v>
      </c>
      <c r="H323" s="307">
        <f t="shared" ca="1" si="128"/>
        <v>18.58718673031397</v>
      </c>
      <c r="I323" s="304">
        <f t="shared" ca="1" si="129"/>
        <v>30.06533574283046</v>
      </c>
      <c r="J323" s="306">
        <f t="shared" ca="1" si="130"/>
        <v>399.44297254445394</v>
      </c>
      <c r="K323" s="307">
        <f t="shared" ca="1" si="131"/>
        <v>1378.809768589821</v>
      </c>
      <c r="L323" s="304">
        <f t="shared" ca="1" si="116"/>
        <v>1435.5037674189034</v>
      </c>
      <c r="M323" s="306">
        <f t="shared" ca="1" si="132"/>
        <v>0.66648431058016488</v>
      </c>
      <c r="N323" s="304">
        <f t="shared" ca="1" si="133"/>
        <v>38.186738107929806</v>
      </c>
      <c r="P323" s="310">
        <f t="shared" ca="1" si="134"/>
        <v>23</v>
      </c>
      <c r="Q323" s="304">
        <f t="shared" ca="1" si="135"/>
        <v>0</v>
      </c>
      <c r="R323" s="306">
        <f t="shared" ca="1" si="136"/>
        <v>0</v>
      </c>
      <c r="S323" s="307">
        <f t="shared" ca="1" si="137"/>
        <v>7.4799999999999969</v>
      </c>
      <c r="T323" s="304">
        <f t="shared" ca="1" si="117"/>
        <v>73.37879999999997</v>
      </c>
      <c r="U323" s="311">
        <f t="shared" ca="1" si="118"/>
        <v>0</v>
      </c>
      <c r="V323" s="306">
        <f t="shared" ca="1" si="119"/>
        <v>1.0669891486191054</v>
      </c>
      <c r="W323" s="304">
        <f t="shared" ca="1" si="120"/>
        <v>3.0597663791559579</v>
      </c>
      <c r="Y323" s="314" t="str">
        <f t="shared" ca="1" si="138"/>
        <v/>
      </c>
      <c r="Z323" s="315" t="str">
        <f t="shared" ca="1" si="139"/>
        <v/>
      </c>
      <c r="AA323" s="316" t="str">
        <f t="shared" ca="1" si="140"/>
        <v/>
      </c>
      <c r="AC323" s="310" t="e">
        <f t="shared" ca="1" si="141"/>
        <v>#N/A</v>
      </c>
      <c r="AD323" s="323" t="e">
        <f t="shared" ca="1" si="142"/>
        <v>#N/A</v>
      </c>
      <c r="AE323" s="324">
        <f t="shared" ca="1" si="121"/>
        <v>1378.809768589821</v>
      </c>
      <c r="AG323" s="306">
        <f t="shared" ca="1" si="143"/>
        <v>-6.6839327556540074</v>
      </c>
      <c r="AH323" s="304">
        <f t="shared" ca="1" si="144"/>
        <v>-0.42726760531274394</v>
      </c>
    </row>
    <row r="324" spans="1:34" x14ac:dyDescent="0.2">
      <c r="A324" s="347">
        <f t="shared" ca="1" si="122"/>
        <v>0.1</v>
      </c>
      <c r="B324" s="304">
        <f t="shared" ca="1" si="123"/>
        <v>13.999999999999968</v>
      </c>
      <c r="D324" s="306">
        <f t="shared" ca="1" si="124"/>
        <v>-0.32152091020143031</v>
      </c>
      <c r="E324" s="307">
        <f t="shared" ca="1" si="125"/>
        <v>-10.062891524423319</v>
      </c>
      <c r="F324" s="304">
        <f t="shared" ca="1" si="126"/>
        <v>10.06802669483983</v>
      </c>
      <c r="G324" s="306">
        <f t="shared" ca="1" si="127"/>
        <v>23.599202139780065</v>
      </c>
      <c r="H324" s="307">
        <f t="shared" ca="1" si="128"/>
        <v>17.580897577871639</v>
      </c>
      <c r="I324" s="304">
        <f t="shared" ca="1" si="129"/>
        <v>29.428052964438759</v>
      </c>
      <c r="J324" s="306">
        <f t="shared" ca="1" si="130"/>
        <v>401.80450036298294</v>
      </c>
      <c r="K324" s="307">
        <f t="shared" ca="1" si="131"/>
        <v>1380.6181728052304</v>
      </c>
      <c r="L324" s="304">
        <f t="shared" ref="L324:L387" ca="1" si="145">SQRT(pos_x^2+pos_z^2)</f>
        <v>1437.8989518015512</v>
      </c>
      <c r="M324" s="306">
        <f t="shared" ca="1" si="132"/>
        <v>0.64027957777090916</v>
      </c>
      <c r="N324" s="304">
        <f t="shared" ca="1" si="133"/>
        <v>36.685317514691455</v>
      </c>
      <c r="P324" s="310">
        <f t="shared" ca="1" si="134"/>
        <v>23</v>
      </c>
      <c r="Q324" s="304">
        <f t="shared" ca="1" si="135"/>
        <v>0</v>
      </c>
      <c r="R324" s="306">
        <f t="shared" ca="1" si="136"/>
        <v>0</v>
      </c>
      <c r="S324" s="307">
        <f t="shared" ca="1" si="137"/>
        <v>7.4799999999999969</v>
      </c>
      <c r="T324" s="304">
        <f t="shared" ref="T324:T387" ca="1" si="146">m*g</f>
        <v>73.37879999999997</v>
      </c>
      <c r="U324" s="311">
        <f t="shared" ref="U324:U387" ca="1" si="147">IF(pos_xz&lt;L_rampe,Poids*COS(Beta),0)</f>
        <v>0</v>
      </c>
      <c r="V324" s="306">
        <f t="shared" ref="V324:V387" ca="1" si="148">Rho_moyen*(20000-Alt_rampe-pos_z)/(20000+Alt_rampe+pos_z)</f>
        <v>1.066795288796881</v>
      </c>
      <c r="W324" s="304">
        <f t="shared" ref="W324:W387" ca="1" si="149">1/2*Rho*Sref*Cx*vit_xz^2</f>
        <v>2.9308952476031656</v>
      </c>
      <c r="Y324" s="314" t="str">
        <f t="shared" ca="1" si="138"/>
        <v/>
      </c>
      <c r="Z324" s="315" t="str">
        <f t="shared" ca="1" si="139"/>
        <v/>
      </c>
      <c r="AA324" s="316" t="str">
        <f t="shared" ca="1" si="140"/>
        <v/>
      </c>
      <c r="AC324" s="310">
        <f t="shared" ca="1" si="141"/>
        <v>13.999999999999968</v>
      </c>
      <c r="AD324" s="323">
        <f t="shared" ca="1" si="142"/>
        <v>401.80450036298294</v>
      </c>
      <c r="AE324" s="324">
        <f t="shared" ref="AE324:AE387" ca="1" si="150">IF(t&lt;T_para, pos_z, NA())</f>
        <v>1380.6181728052304</v>
      </c>
      <c r="AG324" s="306">
        <f t="shared" ca="1" si="143"/>
        <v>-6.4738614595163462</v>
      </c>
      <c r="AH324" s="304">
        <f t="shared" ca="1" si="144"/>
        <v>-0.40905967635774854</v>
      </c>
    </row>
    <row r="325" spans="1:34" x14ac:dyDescent="0.2">
      <c r="A325" s="347">
        <f t="shared" ref="A325:A388" ca="1" si="151">IF(B324+0.01&lt;=T_ini+ROUNDUP(Temps_fin_propu,0), 0.01, IF(K324&gt;0, 0.1, 0.0001))</f>
        <v>0.1</v>
      </c>
      <c r="B325" s="304">
        <f t="shared" ref="B325:B388" ca="1" si="152">B324+pas</f>
        <v>14.099999999999968</v>
      </c>
      <c r="D325" s="306">
        <f t="shared" ref="D325:D388" ca="1" si="153">IF(AND(L324&lt;L_rampe,Poussee&lt;Poids*SIN(M324)),0,(-W324+Poussee)/m*COS(M324)-U324/m*SIN(M324))</f>
        <v>-0.31422048171555733</v>
      </c>
      <c r="E325" s="307">
        <f t="shared" ref="E325:E388" ca="1" si="154">IF(AND(L324&lt;L_rampe,Poussee&lt;Poids*SIN(M324)),0,(-W324+Poussee)/m*SIN(M324)+U324/m*COS(M324)-Poids/m)</f>
        <v>-10.044087494703843</v>
      </c>
      <c r="F325" s="304">
        <f t="shared" ref="F325:F388" ca="1" si="155">SQRT(acc_x^2+acc_z^2)</f>
        <v>10.049001349009547</v>
      </c>
      <c r="G325" s="306">
        <f t="shared" ref="G325:G388" ca="1" si="156">G324+acc_x*pas</f>
        <v>23.567780091608508</v>
      </c>
      <c r="H325" s="307">
        <f t="shared" ref="H325:H388" ca="1" si="157">H324+acc_z*pas</f>
        <v>16.576488828401253</v>
      </c>
      <c r="I325" s="304">
        <f t="shared" ref="I325:I388" ca="1" si="158">SQRT(vit_x^2+vit_z^2)</f>
        <v>28.813542654878969</v>
      </c>
      <c r="J325" s="306">
        <f t="shared" ref="J325:J388" ca="1" si="159">J324+0.5*(vit_x+G324)*pas*(K324&gt;=0)</f>
        <v>404.16284947455239</v>
      </c>
      <c r="K325" s="307">
        <f t="shared" ref="K325:K388" ca="1" si="160">K324+0.5*(vit_z+H324)*pas</f>
        <v>1382.3260421255441</v>
      </c>
      <c r="L325" s="304">
        <f t="shared" ca="1" si="145"/>
        <v>1440.1989083574049</v>
      </c>
      <c r="M325" s="306">
        <f t="shared" ref="M325:M388" ca="1" si="161">IF(AND(L324&gt;L_rampe,G325&gt;0),ATAN2(G325,H325),$M$4)</f>
        <v>0.6129733246275656</v>
      </c>
      <c r="N325" s="304">
        <f t="shared" ref="N325:N388" ca="1" si="162">DEGREES(Beta)</f>
        <v>35.120784455262033</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7.4799999999999969</v>
      </c>
      <c r="T325" s="304">
        <f t="shared" ca="1" si="146"/>
        <v>73.37879999999997</v>
      </c>
      <c r="U325" s="311">
        <f t="shared" ca="1" si="147"/>
        <v>0</v>
      </c>
      <c r="V325" s="306">
        <f t="shared" ca="1" si="148"/>
        <v>1.0666122363612169</v>
      </c>
      <c r="W325" s="304">
        <f t="shared" ca="1" si="149"/>
        <v>2.8092864748881796</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f t="shared" ca="1" si="150"/>
        <v>1382.3260421255441</v>
      </c>
      <c r="AG325" s="306">
        <f t="shared" ref="AG325:AG388" ca="1" si="172">IF(AND(L324&lt;L_rampe,Poussee&lt;Poids*SIN(M324)),0,(-W324+Poussee)/m-Poids*SIN(M324)/m)</f>
        <v>-6.2525178405238506</v>
      </c>
      <c r="AH325" s="304">
        <f t="shared" ref="AH325:AH388" ca="1" si="173">IF(AND(L324&lt;L_rampe,Poussee&lt;Poids*SIN(M324)), g*SIN(M324), (-W324+Poussee)/m)</f>
        <v>-0.39183091545496884</v>
      </c>
    </row>
    <row r="326" spans="1:34" x14ac:dyDescent="0.2">
      <c r="A326" s="347">
        <f t="shared" ca="1" si="151"/>
        <v>0.1</v>
      </c>
      <c r="B326" s="304">
        <f t="shared" ca="1" si="152"/>
        <v>14.199999999999967</v>
      </c>
      <c r="D326" s="306">
        <f t="shared" ca="1" si="153"/>
        <v>-0.30719663141042824</v>
      </c>
      <c r="E326" s="307">
        <f t="shared" ca="1" si="154"/>
        <v>-10.026067932953541</v>
      </c>
      <c r="F326" s="304">
        <f t="shared" ca="1" si="155"/>
        <v>10.030773049299302</v>
      </c>
      <c r="G326" s="306">
        <f t="shared" ca="1" si="156"/>
        <v>23.537060428467466</v>
      </c>
      <c r="H326" s="307">
        <f t="shared" ca="1" si="157"/>
        <v>15.573882035105898</v>
      </c>
      <c r="I326" s="304">
        <f t="shared" ca="1" si="158"/>
        <v>28.223022787375616</v>
      </c>
      <c r="J326" s="306">
        <f t="shared" ca="1" si="159"/>
        <v>406.51809150055618</v>
      </c>
      <c r="K326" s="307">
        <f t="shared" ca="1" si="160"/>
        <v>1383.9335606687193</v>
      </c>
      <c r="L326" s="304">
        <f t="shared" ca="1" si="145"/>
        <v>1442.4039167523272</v>
      </c>
      <c r="M326" s="306">
        <f t="shared" ca="1" si="161"/>
        <v>0.58453879659943953</v>
      </c>
      <c r="N326" s="304">
        <f t="shared" ca="1" si="162"/>
        <v>33.491606006803963</v>
      </c>
      <c r="P326" s="310">
        <f t="shared" ca="1" si="163"/>
        <v>23</v>
      </c>
      <c r="Q326" s="304">
        <f t="shared" ca="1" si="164"/>
        <v>0</v>
      </c>
      <c r="R326" s="306">
        <f t="shared" ca="1" si="165"/>
        <v>0</v>
      </c>
      <c r="S326" s="307">
        <f t="shared" ca="1" si="166"/>
        <v>7.4799999999999969</v>
      </c>
      <c r="T326" s="304">
        <f t="shared" ca="1" si="146"/>
        <v>73.37879999999997</v>
      </c>
      <c r="U326" s="311">
        <f t="shared" ca="1" si="147"/>
        <v>0</v>
      </c>
      <c r="V326" s="306">
        <f t="shared" ca="1" si="148"/>
        <v>1.0664399664112907</v>
      </c>
      <c r="W326" s="304">
        <f t="shared" ca="1" si="149"/>
        <v>2.6948811396263856</v>
      </c>
      <c r="Y326" s="314" t="str">
        <f t="shared" ca="1" si="167"/>
        <v/>
      </c>
      <c r="Z326" s="315" t="str">
        <f t="shared" ca="1" si="168"/>
        <v/>
      </c>
      <c r="AA326" s="316" t="str">
        <f t="shared" ca="1" si="169"/>
        <v/>
      </c>
      <c r="AC326" s="310" t="e">
        <f t="shared" ca="1" si="170"/>
        <v>#N/A</v>
      </c>
      <c r="AD326" s="323" t="e">
        <f t="shared" ca="1" si="171"/>
        <v>#N/A</v>
      </c>
      <c r="AE326" s="324">
        <f t="shared" ca="1" si="150"/>
        <v>1383.9335606687193</v>
      </c>
      <c r="AG326" s="306">
        <f t="shared" ca="1" si="172"/>
        <v>-6.0192857162599669</v>
      </c>
      <c r="AH326" s="304">
        <f t="shared" ca="1" si="173"/>
        <v>-0.37557305814013114</v>
      </c>
    </row>
    <row r="327" spans="1:34" x14ac:dyDescent="0.2">
      <c r="A327" s="347">
        <f t="shared" ca="1" si="151"/>
        <v>0.1</v>
      </c>
      <c r="B327" s="304">
        <f t="shared" ca="1" si="152"/>
        <v>14.299999999999967</v>
      </c>
      <c r="D327" s="306">
        <f t="shared" ca="1" si="153"/>
        <v>-0.30046003467058829</v>
      </c>
      <c r="E327" s="307">
        <f t="shared" ca="1" si="154"/>
        <v>-10.0088068624986</v>
      </c>
      <c r="F327" s="304">
        <f t="shared" ca="1" si="155"/>
        <v>10.013315686785937</v>
      </c>
      <c r="G327" s="306">
        <f t="shared" ca="1" si="156"/>
        <v>23.507014425000406</v>
      </c>
      <c r="H327" s="307">
        <f t="shared" ca="1" si="157"/>
        <v>14.573001348856039</v>
      </c>
      <c r="I327" s="304">
        <f t="shared" ca="1" si="158"/>
        <v>27.657767362730802</v>
      </c>
      <c r="J327" s="306">
        <f t="shared" ca="1" si="159"/>
        <v>408.87029524322958</v>
      </c>
      <c r="K327" s="307">
        <f t="shared" ca="1" si="160"/>
        <v>1385.4409048379175</v>
      </c>
      <c r="L327" s="304">
        <f t="shared" ca="1" si="145"/>
        <v>1444.5142502344493</v>
      </c>
      <c r="M327" s="306">
        <f t="shared" ca="1" si="161"/>
        <v>0.55495431675396656</v>
      </c>
      <c r="N327" s="304">
        <f t="shared" ca="1" si="162"/>
        <v>31.796540172568516</v>
      </c>
      <c r="P327" s="310">
        <f t="shared" ca="1" si="163"/>
        <v>23</v>
      </c>
      <c r="Q327" s="304">
        <f t="shared" ca="1" si="164"/>
        <v>0</v>
      </c>
      <c r="R327" s="306">
        <f t="shared" ca="1" si="165"/>
        <v>0</v>
      </c>
      <c r="S327" s="307">
        <f t="shared" ca="1" si="166"/>
        <v>7.4799999999999969</v>
      </c>
      <c r="T327" s="304">
        <f t="shared" ca="1" si="146"/>
        <v>73.37879999999997</v>
      </c>
      <c r="U327" s="311">
        <f t="shared" ca="1" si="147"/>
        <v>0</v>
      </c>
      <c r="V327" s="306">
        <f t="shared" ca="1" si="148"/>
        <v>1.066278455190278</v>
      </c>
      <c r="W327" s="304">
        <f t="shared" ca="1" si="149"/>
        <v>2.5876231172245774</v>
      </c>
      <c r="Y327" s="314" t="str">
        <f t="shared" ca="1" si="167"/>
        <v/>
      </c>
      <c r="Z327" s="315" t="str">
        <f t="shared" ca="1" si="168"/>
        <v/>
      </c>
      <c r="AA327" s="316" t="str">
        <f t="shared" ca="1" si="169"/>
        <v/>
      </c>
      <c r="AC327" s="310" t="e">
        <f t="shared" ca="1" si="170"/>
        <v>#N/A</v>
      </c>
      <c r="AD327" s="323" t="e">
        <f t="shared" ca="1" si="171"/>
        <v>#N/A</v>
      </c>
      <c r="AE327" s="324">
        <f t="shared" ca="1" si="150"/>
        <v>1385.4409048379175</v>
      </c>
      <c r="AG327" s="306">
        <f t="shared" ca="1" si="172"/>
        <v>-5.7735815404571253</v>
      </c>
      <c r="AH327" s="304">
        <f t="shared" ca="1" si="173"/>
        <v>-0.36027822722277897</v>
      </c>
    </row>
    <row r="328" spans="1:34" x14ac:dyDescent="0.2">
      <c r="A328" s="347">
        <f t="shared" ca="1" si="151"/>
        <v>0.1</v>
      </c>
      <c r="B328" s="304">
        <f t="shared" ca="1" si="152"/>
        <v>14.399999999999967</v>
      </c>
      <c r="D328" s="306">
        <f t="shared" ca="1" si="153"/>
        <v>-0.29402196721838841</v>
      </c>
      <c r="E328" s="307">
        <f t="shared" ca="1" si="154"/>
        <v>-9.9922767641776709</v>
      </c>
      <c r="F328" s="304">
        <f t="shared" ca="1" si="155"/>
        <v>9.9966016150055683</v>
      </c>
      <c r="G328" s="306">
        <f t="shared" ca="1" si="156"/>
        <v>23.477612228278566</v>
      </c>
      <c r="H328" s="307">
        <f t="shared" ca="1" si="157"/>
        <v>13.573773672438271</v>
      </c>
      <c r="I328" s="304">
        <f t="shared" ca="1" si="158"/>
        <v>27.119100421142175</v>
      </c>
      <c r="J328" s="306">
        <f t="shared" ca="1" si="159"/>
        <v>411.21952657589355</v>
      </c>
      <c r="K328" s="307">
        <f t="shared" ca="1" si="160"/>
        <v>1386.8482435889823</v>
      </c>
      <c r="L328" s="304">
        <f t="shared" ca="1" si="145"/>
        <v>1446.5301758978785</v>
      </c>
      <c r="M328" s="306">
        <f t="shared" ca="1" si="161"/>
        <v>0.52420450042552613</v>
      </c>
      <c r="N328" s="304">
        <f t="shared" ca="1" si="162"/>
        <v>30.034705476146414</v>
      </c>
      <c r="P328" s="310">
        <f t="shared" ca="1" si="163"/>
        <v>23</v>
      </c>
      <c r="Q328" s="304">
        <f t="shared" ca="1" si="164"/>
        <v>0</v>
      </c>
      <c r="R328" s="306">
        <f t="shared" ca="1" si="165"/>
        <v>0</v>
      </c>
      <c r="S328" s="307">
        <f t="shared" ca="1" si="166"/>
        <v>7.4799999999999969</v>
      </c>
      <c r="T328" s="304">
        <f t="shared" ca="1" si="146"/>
        <v>73.37879999999997</v>
      </c>
      <c r="U328" s="311">
        <f t="shared" ca="1" si="147"/>
        <v>0</v>
      </c>
      <c r="V328" s="306">
        <f t="shared" ca="1" si="148"/>
        <v>1.0661276800539539</v>
      </c>
      <c r="W328" s="304">
        <f t="shared" ca="1" si="149"/>
        <v>2.4874589780322918</v>
      </c>
      <c r="Y328" s="314" t="str">
        <f t="shared" ca="1" si="167"/>
        <v/>
      </c>
      <c r="Z328" s="315" t="str">
        <f t="shared" ca="1" si="168"/>
        <v/>
      </c>
      <c r="AA328" s="316" t="str">
        <f t="shared" ca="1" si="169"/>
        <v/>
      </c>
      <c r="AC328" s="310" t="e">
        <f t="shared" ca="1" si="170"/>
        <v>#N/A</v>
      </c>
      <c r="AD328" s="323" t="e">
        <f t="shared" ca="1" si="171"/>
        <v>#N/A</v>
      </c>
      <c r="AE328" s="324">
        <f t="shared" ca="1" si="150"/>
        <v>1386.8482435889823</v>
      </c>
      <c r="AG328" s="306">
        <f t="shared" ca="1" si="172"/>
        <v>-5.5148718038864022</v>
      </c>
      <c r="AH328" s="304">
        <f t="shared" ca="1" si="173"/>
        <v>-0.34593891941505062</v>
      </c>
    </row>
    <row r="329" spans="1:34" x14ac:dyDescent="0.2">
      <c r="A329" s="347">
        <f t="shared" ca="1" si="151"/>
        <v>0.1</v>
      </c>
      <c r="B329" s="304">
        <f t="shared" ca="1" si="152"/>
        <v>14.499999999999966</v>
      </c>
      <c r="D329" s="306">
        <f t="shared" ca="1" si="153"/>
        <v>-0.28789423968885414</v>
      </c>
      <c r="E329" s="307">
        <f t="shared" ca="1" si="154"/>
        <v>-9.97644841107088</v>
      </c>
      <c r="F329" s="304">
        <f t="shared" ca="1" si="155"/>
        <v>9.980601484480017</v>
      </c>
      <c r="G329" s="306">
        <f t="shared" ca="1" si="156"/>
        <v>23.448822804309682</v>
      </c>
      <c r="H329" s="307">
        <f t="shared" ca="1" si="157"/>
        <v>12.576128831331184</v>
      </c>
      <c r="I329" s="304">
        <f t="shared" ca="1" si="158"/>
        <v>26.608387912275958</v>
      </c>
      <c r="J329" s="306">
        <f t="shared" ca="1" si="159"/>
        <v>413.56584832752299</v>
      </c>
      <c r="K329" s="307">
        <f t="shared" ca="1" si="160"/>
        <v>1388.1557387141709</v>
      </c>
      <c r="L329" s="304">
        <f t="shared" ca="1" si="145"/>
        <v>1448.4519549601737</v>
      </c>
      <c r="M329" s="306">
        <f t="shared" ca="1" si="161"/>
        <v>0.49228156234122561</v>
      </c>
      <c r="N329" s="304">
        <f t="shared" ca="1" si="162"/>
        <v>28.205655854258552</v>
      </c>
      <c r="P329" s="310">
        <f t="shared" ca="1" si="163"/>
        <v>23</v>
      </c>
      <c r="Q329" s="304">
        <f t="shared" ca="1" si="164"/>
        <v>0</v>
      </c>
      <c r="R329" s="306">
        <f t="shared" ca="1" si="165"/>
        <v>0</v>
      </c>
      <c r="S329" s="307">
        <f t="shared" ca="1" si="166"/>
        <v>7.4799999999999969</v>
      </c>
      <c r="T329" s="304">
        <f t="shared" ca="1" si="146"/>
        <v>73.37879999999997</v>
      </c>
      <c r="U329" s="311">
        <f t="shared" ca="1" si="147"/>
        <v>0</v>
      </c>
      <c r="V329" s="306">
        <f t="shared" ca="1" si="148"/>
        <v>1.0659876194377209</v>
      </c>
      <c r="W329" s="304">
        <f t="shared" ca="1" si="149"/>
        <v>2.3943378831493427</v>
      </c>
      <c r="Y329" s="314" t="str">
        <f t="shared" ca="1" si="167"/>
        <v/>
      </c>
      <c r="Z329" s="315" t="str">
        <f t="shared" ca="1" si="168"/>
        <v/>
      </c>
      <c r="AA329" s="316" t="str">
        <f t="shared" ca="1" si="169"/>
        <v/>
      </c>
      <c r="AC329" s="310" t="e">
        <f t="shared" ca="1" si="170"/>
        <v>#N/A</v>
      </c>
      <c r="AD329" s="323" t="e">
        <f t="shared" ca="1" si="171"/>
        <v>#N/A</v>
      </c>
      <c r="AE329" s="324">
        <f t="shared" ca="1" si="150"/>
        <v>1388.1557387141709</v>
      </c>
      <c r="AG329" s="306">
        <f t="shared" ca="1" si="172"/>
        <v>-5.242693153566429</v>
      </c>
      <c r="AH329" s="304">
        <f t="shared" ca="1" si="173"/>
        <v>-0.33254799171554716</v>
      </c>
    </row>
    <row r="330" spans="1:34" x14ac:dyDescent="0.2">
      <c r="A330" s="347">
        <f t="shared" ca="1" si="151"/>
        <v>0.1</v>
      </c>
      <c r="B330" s="304">
        <f t="shared" ca="1" si="152"/>
        <v>14.599999999999966</v>
      </c>
      <c r="D330" s="306">
        <f t="shared" ca="1" si="153"/>
        <v>-0.28208910999795989</v>
      </c>
      <c r="E330" s="307">
        <f t="shared" ca="1" si="154"/>
        <v>-9.9612907073781933</v>
      </c>
      <c r="F330" s="304">
        <f t="shared" ca="1" si="155"/>
        <v>9.9652840813936958</v>
      </c>
      <c r="G330" s="306">
        <f t="shared" ca="1" si="156"/>
        <v>23.420613893309884</v>
      </c>
      <c r="H330" s="307">
        <f t="shared" ca="1" si="157"/>
        <v>11.579999760593365</v>
      </c>
      <c r="I330" s="304">
        <f t="shared" ca="1" si="158"/>
        <v>26.127027186322639</v>
      </c>
      <c r="J330" s="306">
        <f t="shared" ca="1" si="159"/>
        <v>415.90932016240396</v>
      </c>
      <c r="K330" s="307">
        <f t="shared" ca="1" si="160"/>
        <v>1389.3635451437672</v>
      </c>
      <c r="L330" s="304">
        <f t="shared" ca="1" si="145"/>
        <v>1450.2798430552671</v>
      </c>
      <c r="M330" s="306">
        <f t="shared" ca="1" si="161"/>
        <v>0.45918668521788736</v>
      </c>
      <c r="N330" s="304">
        <f t="shared" ca="1" si="162"/>
        <v>26.309459071587213</v>
      </c>
      <c r="P330" s="310">
        <f t="shared" ca="1" si="163"/>
        <v>23</v>
      </c>
      <c r="Q330" s="304">
        <f t="shared" ca="1" si="164"/>
        <v>0</v>
      </c>
      <c r="R330" s="306">
        <f t="shared" ca="1" si="165"/>
        <v>0</v>
      </c>
      <c r="S330" s="307">
        <f t="shared" ca="1" si="166"/>
        <v>7.4799999999999969</v>
      </c>
      <c r="T330" s="304">
        <f t="shared" ca="1" si="146"/>
        <v>73.37879999999997</v>
      </c>
      <c r="U330" s="311">
        <f t="shared" ca="1" si="147"/>
        <v>0</v>
      </c>
      <c r="V330" s="306">
        <f t="shared" ca="1" si="148"/>
        <v>1.0658582528218772</v>
      </c>
      <c r="W330" s="304">
        <f t="shared" ca="1" si="149"/>
        <v>2.308211477387045</v>
      </c>
      <c r="Y330" s="314" t="str">
        <f t="shared" ca="1" si="167"/>
        <v/>
      </c>
      <c r="Z330" s="315" t="str">
        <f t="shared" ca="1" si="168"/>
        <v/>
      </c>
      <c r="AA330" s="316" t="str">
        <f t="shared" ca="1" si="169"/>
        <v/>
      </c>
      <c r="AC330" s="310" t="e">
        <f t="shared" ca="1" si="170"/>
        <v>#N/A</v>
      </c>
      <c r="AD330" s="323" t="e">
        <f t="shared" ca="1" si="171"/>
        <v>#N/A</v>
      </c>
      <c r="AE330" s="324">
        <f t="shared" ca="1" si="150"/>
        <v>1389.3635451437672</v>
      </c>
      <c r="AG330" s="306">
        <f t="shared" ca="1" si="172"/>
        <v>-4.9566750624847122</v>
      </c>
      <c r="AH330" s="304">
        <f t="shared" ca="1" si="173"/>
        <v>-0.32009864747985878</v>
      </c>
    </row>
    <row r="331" spans="1:34" x14ac:dyDescent="0.2">
      <c r="A331" s="347">
        <f t="shared" ca="1" si="151"/>
        <v>0.1</v>
      </c>
      <c r="B331" s="304">
        <f t="shared" ca="1" si="152"/>
        <v>14.699999999999966</v>
      </c>
      <c r="D331" s="306">
        <f t="shared" ca="1" si="153"/>
        <v>-0.27661917110589535</v>
      </c>
      <c r="E331" s="307">
        <f t="shared" ca="1" si="154"/>
        <v>-9.9467705368345118</v>
      </c>
      <c r="F331" s="304">
        <f t="shared" ca="1" si="155"/>
        <v>9.9506161758085341</v>
      </c>
      <c r="G331" s="306">
        <f t="shared" ca="1" si="156"/>
        <v>23.392951976199296</v>
      </c>
      <c r="H331" s="307">
        <f t="shared" ca="1" si="157"/>
        <v>10.585322706909913</v>
      </c>
      <c r="I331" s="304">
        <f t="shared" ca="1" si="158"/>
        <v>25.676433922376937</v>
      </c>
      <c r="J331" s="306">
        <f t="shared" ca="1" si="159"/>
        <v>418.24999845587939</v>
      </c>
      <c r="K331" s="307">
        <f t="shared" ca="1" si="160"/>
        <v>1390.4718112671424</v>
      </c>
      <c r="L331" s="304">
        <f t="shared" ca="1" si="145"/>
        <v>1452.0140905435012</v>
      </c>
      <c r="M331" s="306">
        <f t="shared" ca="1" si="161"/>
        <v>0.42493140561080939</v>
      </c>
      <c r="N331" s="304">
        <f t="shared" ca="1" si="162"/>
        <v>24.346776124061087</v>
      </c>
      <c r="P331" s="310">
        <f t="shared" ca="1" si="163"/>
        <v>23</v>
      </c>
      <c r="Q331" s="304">
        <f t="shared" ca="1" si="164"/>
        <v>0</v>
      </c>
      <c r="R331" s="306">
        <f t="shared" ca="1" si="165"/>
        <v>0</v>
      </c>
      <c r="S331" s="307">
        <f t="shared" ca="1" si="166"/>
        <v>7.4799999999999969</v>
      </c>
      <c r="T331" s="304">
        <f t="shared" ca="1" si="146"/>
        <v>73.37879999999997</v>
      </c>
      <c r="U331" s="311">
        <f t="shared" ca="1" si="147"/>
        <v>0</v>
      </c>
      <c r="V331" s="306">
        <f t="shared" ca="1" si="148"/>
        <v>1.0657395606949591</v>
      </c>
      <c r="W331" s="304">
        <f t="shared" ca="1" si="149"/>
        <v>2.2290337789029362</v>
      </c>
      <c r="Y331" s="314" t="str">
        <f t="shared" ca="1" si="167"/>
        <v/>
      </c>
      <c r="Z331" s="315" t="str">
        <f t="shared" ca="1" si="168"/>
        <v/>
      </c>
      <c r="AA331" s="316" t="str">
        <f t="shared" ca="1" si="169"/>
        <v/>
      </c>
      <c r="AC331" s="310" t="e">
        <f t="shared" ca="1" si="170"/>
        <v>#N/A</v>
      </c>
      <c r="AD331" s="323" t="e">
        <f t="shared" ca="1" si="171"/>
        <v>#N/A</v>
      </c>
      <c r="AE331" s="324">
        <f t="shared" ca="1" si="150"/>
        <v>1390.4718112671424</v>
      </c>
      <c r="AG331" s="306">
        <f t="shared" ca="1" si="172"/>
        <v>-4.6565646512156151</v>
      </c>
      <c r="AH331" s="304">
        <f t="shared" ca="1" si="173"/>
        <v>-0.30858442211056764</v>
      </c>
    </row>
    <row r="332" spans="1:34" x14ac:dyDescent="0.2">
      <c r="A332" s="347">
        <f t="shared" ca="1" si="151"/>
        <v>0.1</v>
      </c>
      <c r="B332" s="304">
        <f t="shared" ca="1" si="152"/>
        <v>14.799999999999965</v>
      </c>
      <c r="D332" s="306">
        <f t="shared" ca="1" si="153"/>
        <v>-0.27149721235132962</v>
      </c>
      <c r="E332" s="307">
        <f t="shared" ca="1" si="154"/>
        <v>-9.9328526271369793</v>
      </c>
      <c r="F332" s="304">
        <f t="shared" ca="1" si="155"/>
        <v>9.9365623858926444</v>
      </c>
      <c r="G332" s="306">
        <f t="shared" ca="1" si="156"/>
        <v>23.365802254964162</v>
      </c>
      <c r="H332" s="307">
        <f t="shared" ca="1" si="157"/>
        <v>9.5920374441962153</v>
      </c>
      <c r="I332" s="304">
        <f t="shared" ca="1" si="158"/>
        <v>25.258026394573083</v>
      </c>
      <c r="J332" s="306">
        <f t="shared" ca="1" si="159"/>
        <v>420.58793616743759</v>
      </c>
      <c r="K332" s="307">
        <f t="shared" ca="1" si="160"/>
        <v>1391.4806792746976</v>
      </c>
      <c r="L332" s="304">
        <f t="shared" ca="1" si="145"/>
        <v>1453.654942840411</v>
      </c>
      <c r="M332" s="306">
        <f t="shared" ca="1" si="161"/>
        <v>0.38953895870568117</v>
      </c>
      <c r="N332" s="304">
        <f t="shared" ca="1" si="162"/>
        <v>22.318938289756389</v>
      </c>
      <c r="P332" s="310">
        <f t="shared" ca="1" si="163"/>
        <v>23</v>
      </c>
      <c r="Q332" s="304">
        <f t="shared" ca="1" si="164"/>
        <v>0</v>
      </c>
      <c r="R332" s="306">
        <f t="shared" ca="1" si="165"/>
        <v>0</v>
      </c>
      <c r="S332" s="307">
        <f t="shared" ca="1" si="166"/>
        <v>7.4799999999999969</v>
      </c>
      <c r="T332" s="304">
        <f t="shared" ca="1" si="146"/>
        <v>73.37879999999997</v>
      </c>
      <c r="U332" s="311">
        <f t="shared" ca="1" si="147"/>
        <v>0</v>
      </c>
      <c r="V332" s="306">
        <f t="shared" ca="1" si="148"/>
        <v>1.0656315245149923</v>
      </c>
      <c r="W332" s="304">
        <f t="shared" ca="1" si="149"/>
        <v>2.1567610650665991</v>
      </c>
      <c r="Y332" s="314" t="str">
        <f t="shared" ca="1" si="167"/>
        <v/>
      </c>
      <c r="Z332" s="315" t="str">
        <f t="shared" ca="1" si="168"/>
        <v/>
      </c>
      <c r="AA332" s="316" t="str">
        <f t="shared" ca="1" si="169"/>
        <v/>
      </c>
      <c r="AC332" s="310" t="e">
        <f t="shared" ca="1" si="170"/>
        <v>#N/A</v>
      </c>
      <c r="AD332" s="323" t="e">
        <f t="shared" ca="1" si="171"/>
        <v>#N/A</v>
      </c>
      <c r="AE332" s="324">
        <f t="shared" ca="1" si="150"/>
        <v>1391.4806792746976</v>
      </c>
      <c r="AG332" s="306">
        <f t="shared" ca="1" si="172"/>
        <v>-4.3422529797435443</v>
      </c>
      <c r="AH332" s="304">
        <f t="shared" ca="1" si="173"/>
        <v>-0.2979991683025317</v>
      </c>
    </row>
    <row r="333" spans="1:34" x14ac:dyDescent="0.2">
      <c r="A333" s="347">
        <f t="shared" ca="1" si="151"/>
        <v>0.1</v>
      </c>
      <c r="B333" s="304">
        <f t="shared" ca="1" si="152"/>
        <v>14.899999999999965</v>
      </c>
      <c r="D333" s="306">
        <f t="shared" ca="1" si="153"/>
        <v>-0.26673605342320639</v>
      </c>
      <c r="E333" s="307">
        <f t="shared" ca="1" si="154"/>
        <v>-9.9194994378636814</v>
      </c>
      <c r="F333" s="304">
        <f t="shared" ca="1" si="155"/>
        <v>9.9230850656423222</v>
      </c>
      <c r="G333" s="306">
        <f t="shared" ca="1" si="156"/>
        <v>23.339128649621841</v>
      </c>
      <c r="H333" s="307">
        <f t="shared" ca="1" si="157"/>
        <v>8.6000875004098472</v>
      </c>
      <c r="I333" s="304">
        <f t="shared" ca="1" si="158"/>
        <v>24.873207093945581</v>
      </c>
      <c r="J333" s="306">
        <f t="shared" ca="1" si="159"/>
        <v>422.92318271266691</v>
      </c>
      <c r="K333" s="307">
        <f t="shared" ca="1" si="160"/>
        <v>1392.390285521928</v>
      </c>
      <c r="L333" s="304">
        <f t="shared" ca="1" si="145"/>
        <v>1455.2026407657622</v>
      </c>
      <c r="M333" s="306">
        <f t="shared" ca="1" si="161"/>
        <v>0.35304551001097828</v>
      </c>
      <c r="N333" s="304">
        <f t="shared" ca="1" si="162"/>
        <v>20.228017699672709</v>
      </c>
      <c r="P333" s="310">
        <f t="shared" ca="1" si="163"/>
        <v>23</v>
      </c>
      <c r="Q333" s="304">
        <f t="shared" ca="1" si="164"/>
        <v>0</v>
      </c>
      <c r="R333" s="306">
        <f t="shared" ca="1" si="165"/>
        <v>0</v>
      </c>
      <c r="S333" s="307">
        <f t="shared" ca="1" si="166"/>
        <v>7.4799999999999969</v>
      </c>
      <c r="T333" s="304">
        <f t="shared" ca="1" si="146"/>
        <v>73.37879999999997</v>
      </c>
      <c r="U333" s="311">
        <f t="shared" ca="1" si="147"/>
        <v>0</v>
      </c>
      <c r="V333" s="306">
        <f t="shared" ca="1" si="148"/>
        <v>1.0655341266685154</v>
      </c>
      <c r="W333" s="304">
        <f t="shared" ca="1" si="149"/>
        <v>2.0913517541706916</v>
      </c>
      <c r="Y333" s="314" t="str">
        <f t="shared" ca="1" si="167"/>
        <v/>
      </c>
      <c r="Z333" s="315" t="str">
        <f t="shared" ca="1" si="168"/>
        <v/>
      </c>
      <c r="AA333" s="316" t="str">
        <f t="shared" ca="1" si="169"/>
        <v/>
      </c>
      <c r="AC333" s="310" t="e">
        <f t="shared" ca="1" si="170"/>
        <v>#N/A</v>
      </c>
      <c r="AD333" s="323" t="e">
        <f t="shared" ca="1" si="171"/>
        <v>#N/A</v>
      </c>
      <c r="AE333" s="324">
        <f t="shared" ca="1" si="150"/>
        <v>1392.390285521928</v>
      </c>
      <c r="AG333" s="306">
        <f t="shared" ca="1" si="172"/>
        <v>-4.0138018042458965</v>
      </c>
      <c r="AH333" s="304">
        <f t="shared" ca="1" si="173"/>
        <v>-0.28833704078430483</v>
      </c>
    </row>
    <row r="334" spans="1:34" x14ac:dyDescent="0.2">
      <c r="A334" s="347">
        <f t="shared" ca="1" si="151"/>
        <v>0.1</v>
      </c>
      <c r="B334" s="304">
        <f t="shared" ca="1" si="152"/>
        <v>14.999999999999964</v>
      </c>
      <c r="D334" s="306">
        <f t="shared" ca="1" si="153"/>
        <v>-0.26234835127234235</v>
      </c>
      <c r="E334" s="307">
        <f t="shared" ca="1" si="154"/>
        <v>-9.9066710801590681</v>
      </c>
      <c r="F334" s="304">
        <f t="shared" ca="1" si="155"/>
        <v>9.9101442243730915</v>
      </c>
      <c r="G334" s="306">
        <f t="shared" ca="1" si="156"/>
        <v>23.312893814494608</v>
      </c>
      <c r="H334" s="307">
        <f t="shared" ca="1" si="157"/>
        <v>7.6094203923939405</v>
      </c>
      <c r="I334" s="304">
        <f t="shared" ca="1" si="158"/>
        <v>24.523341874917492</v>
      </c>
      <c r="J334" s="306">
        <f t="shared" ca="1" si="159"/>
        <v>425.25578383587276</v>
      </c>
      <c r="K334" s="307">
        <f t="shared" ca="1" si="160"/>
        <v>1393.2007609165682</v>
      </c>
      <c r="L334" s="304">
        <f t="shared" ca="1" si="145"/>
        <v>1456.6574209141856</v>
      </c>
      <c r="M334" s="306">
        <f t="shared" ca="1" si="161"/>
        <v>0.31550119023702539</v>
      </c>
      <c r="N334" s="304">
        <f t="shared" ca="1" si="162"/>
        <v>18.076886631935647</v>
      </c>
      <c r="P334" s="310">
        <f t="shared" ca="1" si="163"/>
        <v>23</v>
      </c>
      <c r="Q334" s="304">
        <f t="shared" ca="1" si="164"/>
        <v>0</v>
      </c>
      <c r="R334" s="306">
        <f t="shared" ca="1" si="165"/>
        <v>0</v>
      </c>
      <c r="S334" s="307">
        <f t="shared" ca="1" si="166"/>
        <v>7.4799999999999969</v>
      </c>
      <c r="T334" s="304">
        <f t="shared" ca="1" si="146"/>
        <v>73.37879999999997</v>
      </c>
      <c r="U334" s="311">
        <f t="shared" ca="1" si="147"/>
        <v>0</v>
      </c>
      <c r="V334" s="306">
        <f t="shared" ca="1" si="148"/>
        <v>1.0654473504272697</v>
      </c>
      <c r="W334" s="304">
        <f t="shared" ca="1" si="149"/>
        <v>2.0327662826783883</v>
      </c>
      <c r="Y334" s="314" t="str">
        <f t="shared" ca="1" si="167"/>
        <v/>
      </c>
      <c r="Z334" s="315" t="str">
        <f t="shared" ca="1" si="168"/>
        <v/>
      </c>
      <c r="AA334" s="316" t="str">
        <f t="shared" ca="1" si="169"/>
        <v/>
      </c>
      <c r="AC334" s="310">
        <f t="shared" ca="1" si="170"/>
        <v>14.999999999999964</v>
      </c>
      <c r="AD334" s="323">
        <f t="shared" ca="1" si="171"/>
        <v>425.25578383587276</v>
      </c>
      <c r="AE334" s="324">
        <f t="shared" ca="1" si="150"/>
        <v>1393.2007609165682</v>
      </c>
      <c r="AG334" s="306">
        <f t="shared" ca="1" si="172"/>
        <v>-3.6714694531988088</v>
      </c>
      <c r="AH334" s="304">
        <f t="shared" ca="1" si="173"/>
        <v>-0.27959248050410329</v>
      </c>
    </row>
    <row r="335" spans="1:34" x14ac:dyDescent="0.2">
      <c r="A335" s="347">
        <f t="shared" ca="1" si="151"/>
        <v>0.1</v>
      </c>
      <c r="B335" s="304">
        <f t="shared" ca="1" si="152"/>
        <v>15.099999999999964</v>
      </c>
      <c r="D335" s="306">
        <f t="shared" ca="1" si="153"/>
        <v>-0.25834638184310305</v>
      </c>
      <c r="E335" s="307">
        <f t="shared" ca="1" si="154"/>
        <v>-9.894325276902169</v>
      </c>
      <c r="F335" s="304">
        <f t="shared" ca="1" si="155"/>
        <v>9.8976974866964191</v>
      </c>
      <c r="G335" s="306">
        <f t="shared" ca="1" si="156"/>
        <v>23.287059176310297</v>
      </c>
      <c r="H335" s="307">
        <f t="shared" ca="1" si="157"/>
        <v>6.6199878647037238</v>
      </c>
      <c r="I335" s="304">
        <f t="shared" ca="1" si="158"/>
        <v>24.20973697522966</v>
      </c>
      <c r="J335" s="306">
        <f t="shared" ca="1" si="159"/>
        <v>427.58578148541301</v>
      </c>
      <c r="K335" s="307">
        <f t="shared" ca="1" si="160"/>
        <v>1393.9122313294231</v>
      </c>
      <c r="L335" s="304">
        <f t="shared" ca="1" si="145"/>
        <v>1458.0195160484864</v>
      </c>
      <c r="M335" s="306">
        <f t="shared" ca="1" si="161"/>
        <v>0.27697084214001799</v>
      </c>
      <c r="N335" s="304">
        <f t="shared" ca="1" si="162"/>
        <v>15.8692603028072</v>
      </c>
      <c r="P335" s="310">
        <f t="shared" ca="1" si="163"/>
        <v>23</v>
      </c>
      <c r="Q335" s="304">
        <f t="shared" ca="1" si="164"/>
        <v>0</v>
      </c>
      <c r="R335" s="306">
        <f t="shared" ca="1" si="165"/>
        <v>0</v>
      </c>
      <c r="S335" s="307">
        <f t="shared" ca="1" si="166"/>
        <v>7.4799999999999969</v>
      </c>
      <c r="T335" s="304">
        <f t="shared" ca="1" si="146"/>
        <v>73.37879999999997</v>
      </c>
      <c r="U335" s="311">
        <f t="shared" ca="1" si="147"/>
        <v>0</v>
      </c>
      <c r="V335" s="306">
        <f t="shared" ca="1" si="148"/>
        <v>1.0653711799024768</v>
      </c>
      <c r="W335" s="304">
        <f t="shared" ca="1" si="149"/>
        <v>1.9809669777980468</v>
      </c>
      <c r="Y335" s="314" t="str">
        <f t="shared" ca="1" si="167"/>
        <v/>
      </c>
      <c r="Z335" s="315" t="str">
        <f t="shared" ca="1" si="168"/>
        <v/>
      </c>
      <c r="AA335" s="316" t="str">
        <f t="shared" ca="1" si="169"/>
        <v/>
      </c>
      <c r="AC335" s="310" t="e">
        <f t="shared" ca="1" si="170"/>
        <v>#N/A</v>
      </c>
      <c r="AD335" s="323" t="e">
        <f t="shared" ca="1" si="171"/>
        <v>#N/A</v>
      </c>
      <c r="AE335" s="324">
        <f t="shared" ca="1" si="150"/>
        <v>1393.9122313294231</v>
      </c>
      <c r="AG335" s="306">
        <f t="shared" ca="1" si="172"/>
        <v>-3.3157341569940049</v>
      </c>
      <c r="AH335" s="304">
        <f t="shared" ca="1" si="173"/>
        <v>-0.27176019821903596</v>
      </c>
    </row>
    <row r="336" spans="1:34" x14ac:dyDescent="0.2">
      <c r="A336" s="347">
        <f t="shared" ca="1" si="151"/>
        <v>0.1</v>
      </c>
      <c r="B336" s="304">
        <f t="shared" ca="1" si="152"/>
        <v>15.199999999999964</v>
      </c>
      <c r="D336" s="306">
        <f t="shared" ca="1" si="153"/>
        <v>-0.2547418003772593</v>
      </c>
      <c r="E336" s="307">
        <f t="shared" ca="1" si="154"/>
        <v>-9.8824173719988568</v>
      </c>
      <c r="F336" s="304">
        <f t="shared" ca="1" si="155"/>
        <v>9.8857001016237707</v>
      </c>
      <c r="G336" s="306">
        <f t="shared" ca="1" si="156"/>
        <v>23.261584996272571</v>
      </c>
      <c r="H336" s="307">
        <f t="shared" ca="1" si="157"/>
        <v>5.6317461275038383</v>
      </c>
      <c r="I336" s="304">
        <f t="shared" ca="1" si="158"/>
        <v>23.933614457149336</v>
      </c>
      <c r="J336" s="306">
        <f t="shared" ca="1" si="159"/>
        <v>429.91321369404216</v>
      </c>
      <c r="K336" s="307">
        <f t="shared" ca="1" si="160"/>
        <v>1394.5248180290334</v>
      </c>
      <c r="L336" s="304">
        <f t="shared" ca="1" si="145"/>
        <v>1459.289155516359</v>
      </c>
      <c r="M336" s="306">
        <f t="shared" ca="1" si="161"/>
        <v>0.23753438704388949</v>
      </c>
      <c r="N336" s="304">
        <f t="shared" ca="1" si="162"/>
        <v>13.60971786684185</v>
      </c>
      <c r="P336" s="310">
        <f t="shared" ca="1" si="163"/>
        <v>23</v>
      </c>
      <c r="Q336" s="304">
        <f t="shared" ca="1" si="164"/>
        <v>0</v>
      </c>
      <c r="R336" s="306">
        <f t="shared" ca="1" si="165"/>
        <v>0</v>
      </c>
      <c r="S336" s="307">
        <f t="shared" ca="1" si="166"/>
        <v>7.4799999999999969</v>
      </c>
      <c r="T336" s="304">
        <f t="shared" ca="1" si="146"/>
        <v>73.37879999999997</v>
      </c>
      <c r="U336" s="311">
        <f t="shared" ca="1" si="147"/>
        <v>0</v>
      </c>
      <c r="V336" s="306">
        <f t="shared" ca="1" si="148"/>
        <v>1.0653055999966874</v>
      </c>
      <c r="W336" s="304">
        <f t="shared" ca="1" si="149"/>
        <v>1.9359179252982004</v>
      </c>
      <c r="Y336" s="314" t="str">
        <f t="shared" ca="1" si="167"/>
        <v/>
      </c>
      <c r="Z336" s="315" t="str">
        <f t="shared" ca="1" si="168"/>
        <v/>
      </c>
      <c r="AA336" s="316" t="str">
        <f t="shared" ca="1" si="169"/>
        <v/>
      </c>
      <c r="AC336" s="310" t="e">
        <f t="shared" ca="1" si="170"/>
        <v>#N/A</v>
      </c>
      <c r="AD336" s="323" t="e">
        <f t="shared" ca="1" si="171"/>
        <v>#N/A</v>
      </c>
      <c r="AE336" s="324">
        <f t="shared" ca="1" si="150"/>
        <v>1394.5248180290334</v>
      </c>
      <c r="AG336" s="306">
        <f t="shared" ca="1" si="172"/>
        <v>-2.9473129150325219</v>
      </c>
      <c r="AH336" s="304">
        <f t="shared" ca="1" si="173"/>
        <v>-0.26483515745963204</v>
      </c>
    </row>
    <row r="337" spans="1:34" x14ac:dyDescent="0.2">
      <c r="A337" s="347">
        <f t="shared" ca="1" si="151"/>
        <v>0.1</v>
      </c>
      <c r="B337" s="304">
        <f t="shared" ca="1" si="152"/>
        <v>15.299999999999963</v>
      </c>
      <c r="D337" s="306">
        <f t="shared" ca="1" si="153"/>
        <v>-0.2515453861026718</v>
      </c>
      <c r="E337" s="307">
        <f t="shared" ca="1" si="154"/>
        <v>-9.8709003966970528</v>
      </c>
      <c r="F337" s="304">
        <f t="shared" ca="1" si="155"/>
        <v>9.8741050086974251</v>
      </c>
      <c r="G337" s="306">
        <f t="shared" ca="1" si="156"/>
        <v>23.236430457662305</v>
      </c>
      <c r="H337" s="307">
        <f t="shared" ca="1" si="157"/>
        <v>4.6446560878341332</v>
      </c>
      <c r="I337" s="304">
        <f t="shared" ca="1" si="158"/>
        <v>23.696086820148832</v>
      </c>
      <c r="J337" s="306">
        <f t="shared" ca="1" si="159"/>
        <v>432.23811446673892</v>
      </c>
      <c r="K337" s="307">
        <f t="shared" ca="1" si="160"/>
        <v>1395.0386381398002</v>
      </c>
      <c r="L337" s="304">
        <f t="shared" ca="1" si="145"/>
        <v>1460.4665656908103</v>
      </c>
      <c r="M337" s="306">
        <f t="shared" ca="1" si="161"/>
        <v>0.1972867262340926</v>
      </c>
      <c r="N337" s="304">
        <f t="shared" ca="1" si="162"/>
        <v>11.303696767166404</v>
      </c>
      <c r="P337" s="310">
        <f t="shared" ca="1" si="163"/>
        <v>23</v>
      </c>
      <c r="Q337" s="304">
        <f t="shared" ca="1" si="164"/>
        <v>0</v>
      </c>
      <c r="R337" s="306">
        <f t="shared" ca="1" si="165"/>
        <v>0</v>
      </c>
      <c r="S337" s="307">
        <f t="shared" ca="1" si="166"/>
        <v>7.4799999999999969</v>
      </c>
      <c r="T337" s="304">
        <f t="shared" ca="1" si="146"/>
        <v>73.37879999999997</v>
      </c>
      <c r="U337" s="311">
        <f t="shared" ca="1" si="147"/>
        <v>0</v>
      </c>
      <c r="V337" s="306">
        <f t="shared" ca="1" si="148"/>
        <v>1.0652505963532266</v>
      </c>
      <c r="W337" s="304">
        <f t="shared" ca="1" si="149"/>
        <v>1.8975848326198061</v>
      </c>
      <c r="Y337" s="314" t="str">
        <f t="shared" ca="1" si="167"/>
        <v/>
      </c>
      <c r="Z337" s="315" t="str">
        <f t="shared" ca="1" si="168"/>
        <v/>
      </c>
      <c r="AA337" s="316" t="str">
        <f t="shared" ca="1" si="169"/>
        <v/>
      </c>
      <c r="AC337" s="310" t="e">
        <f t="shared" ca="1" si="170"/>
        <v>#N/A</v>
      </c>
      <c r="AD337" s="323" t="e">
        <f t="shared" ca="1" si="171"/>
        <v>#N/A</v>
      </c>
      <c r="AE337" s="324">
        <f t="shared" ca="1" si="150"/>
        <v>1395.0386381398002</v>
      </c>
      <c r="AG337" s="306">
        <f t="shared" ca="1" si="172"/>
        <v>-2.5671738622399611</v>
      </c>
      <c r="AH337" s="304">
        <f t="shared" ca="1" si="173"/>
        <v>-0.25881255685804827</v>
      </c>
    </row>
    <row r="338" spans="1:34" x14ac:dyDescent="0.2">
      <c r="A338" s="347">
        <f t="shared" ca="1" si="151"/>
        <v>0.1</v>
      </c>
      <c r="B338" s="304">
        <f t="shared" ca="1" si="152"/>
        <v>15.399999999999963</v>
      </c>
      <c r="D338" s="306">
        <f t="shared" ca="1" si="153"/>
        <v>-0.24876677920255461</v>
      </c>
      <c r="E338" s="307">
        <f t="shared" ca="1" si="154"/>
        <v>-9.8597251992976851</v>
      </c>
      <c r="F338" s="304">
        <f t="shared" ca="1" si="155"/>
        <v>9.8628629675211741</v>
      </c>
      <c r="G338" s="306">
        <f t="shared" ca="1" si="156"/>
        <v>23.211553779742051</v>
      </c>
      <c r="H338" s="307">
        <f t="shared" ca="1" si="157"/>
        <v>3.6586835679043648</v>
      </c>
      <c r="I338" s="304">
        <f t="shared" ca="1" si="158"/>
        <v>23.498131719775316</v>
      </c>
      <c r="J338" s="306">
        <f t="shared" ca="1" si="159"/>
        <v>434.56051367860914</v>
      </c>
      <c r="K338" s="307">
        <f t="shared" ca="1" si="160"/>
        <v>1395.4538051225873</v>
      </c>
      <c r="L338" s="304">
        <f t="shared" ca="1" si="145"/>
        <v>1461.5519704340738</v>
      </c>
      <c r="M338" s="306">
        <f t="shared" ca="1" si="161"/>
        <v>0.15633710990569227</v>
      </c>
      <c r="N338" s="304">
        <f t="shared" ca="1" si="162"/>
        <v>8.9574565788690634</v>
      </c>
      <c r="P338" s="310">
        <f t="shared" ca="1" si="163"/>
        <v>23</v>
      </c>
      <c r="Q338" s="304">
        <f t="shared" ca="1" si="164"/>
        <v>0</v>
      </c>
      <c r="R338" s="306">
        <f t="shared" ca="1" si="165"/>
        <v>0</v>
      </c>
      <c r="S338" s="307">
        <f t="shared" ca="1" si="166"/>
        <v>7.4799999999999969</v>
      </c>
      <c r="T338" s="304">
        <f t="shared" ca="1" si="146"/>
        <v>73.37879999999997</v>
      </c>
      <c r="U338" s="311">
        <f t="shared" ca="1" si="147"/>
        <v>0</v>
      </c>
      <c r="V338" s="306">
        <f t="shared" ca="1" si="148"/>
        <v>1.0652061553033394</v>
      </c>
      <c r="W338" s="304">
        <f t="shared" ca="1" si="149"/>
        <v>1.8659348875048347</v>
      </c>
      <c r="Y338" s="314" t="str">
        <f t="shared" ca="1" si="167"/>
        <v/>
      </c>
      <c r="Z338" s="315" t="str">
        <f t="shared" ca="1" si="168"/>
        <v/>
      </c>
      <c r="AA338" s="316" t="str">
        <f t="shared" ca="1" si="169"/>
        <v/>
      </c>
      <c r="AC338" s="310" t="e">
        <f t="shared" ca="1" si="170"/>
        <v>#N/A</v>
      </c>
      <c r="AD338" s="323" t="e">
        <f t="shared" ca="1" si="171"/>
        <v>#N/A</v>
      </c>
      <c r="AE338" s="324">
        <f t="shared" ca="1" si="150"/>
        <v>1395.4538051225873</v>
      </c>
      <c r="AG338" s="306">
        <f t="shared" ca="1" si="172"/>
        <v>-2.1765401615827833</v>
      </c>
      <c r="AH338" s="304">
        <f t="shared" ca="1" si="173"/>
        <v>-0.25368781184756778</v>
      </c>
    </row>
    <row r="339" spans="1:34" x14ac:dyDescent="0.2">
      <c r="A339" s="347">
        <f t="shared" ca="1" si="151"/>
        <v>0.1</v>
      </c>
      <c r="B339" s="304">
        <f t="shared" ca="1" si="152"/>
        <v>15.499999999999963</v>
      </c>
      <c r="D339" s="306">
        <f t="shared" ca="1" si="153"/>
        <v>-0.24641421984585438</v>
      </c>
      <c r="E339" s="307">
        <f t="shared" ca="1" si="154"/>
        <v>-9.8488406422768158</v>
      </c>
      <c r="F339" s="304">
        <f t="shared" ca="1" si="155"/>
        <v>9.8519227547066084</v>
      </c>
      <c r="G339" s="306">
        <f t="shared" ca="1" si="156"/>
        <v>23.186912357757464</v>
      </c>
      <c r="H339" s="307">
        <f t="shared" ca="1" si="157"/>
        <v>2.6737995036766833</v>
      </c>
      <c r="I339" s="304">
        <f t="shared" ca="1" si="158"/>
        <v>23.3405678695311</v>
      </c>
      <c r="J339" s="306">
        <f t="shared" ca="1" si="159"/>
        <v>436.8804369854841</v>
      </c>
      <c r="K339" s="307">
        <f t="shared" ca="1" si="160"/>
        <v>1395.7704292761664</v>
      </c>
      <c r="L339" s="304">
        <f t="shared" ca="1" si="145"/>
        <v>1462.5455915842083</v>
      </c>
      <c r="M339" s="306">
        <f t="shared" ca="1" si="161"/>
        <v>0.11480793415459928</v>
      </c>
      <c r="N339" s="304">
        <f t="shared" ca="1" si="162"/>
        <v>6.5780100816743934</v>
      </c>
      <c r="P339" s="310">
        <f t="shared" ca="1" si="163"/>
        <v>23</v>
      </c>
      <c r="Q339" s="304">
        <f t="shared" ca="1" si="164"/>
        <v>0</v>
      </c>
      <c r="R339" s="306">
        <f t="shared" ca="1" si="165"/>
        <v>0</v>
      </c>
      <c r="S339" s="307">
        <f t="shared" ca="1" si="166"/>
        <v>7.4799999999999969</v>
      </c>
      <c r="T339" s="304">
        <f t="shared" ca="1" si="146"/>
        <v>73.37879999999997</v>
      </c>
      <c r="U339" s="311">
        <f t="shared" ca="1" si="147"/>
        <v>0</v>
      </c>
      <c r="V339" s="306">
        <f t="shared" ca="1" si="148"/>
        <v>1.065172263811194</v>
      </c>
      <c r="W339" s="304">
        <f t="shared" ca="1" si="149"/>
        <v>1.8409366125353668</v>
      </c>
      <c r="Y339" s="314" t="str">
        <f t="shared" ca="1" si="167"/>
        <v/>
      </c>
      <c r="Z339" s="315" t="str">
        <f t="shared" ca="1" si="168"/>
        <v/>
      </c>
      <c r="AA339" s="316" t="str">
        <f t="shared" ca="1" si="169"/>
        <v/>
      </c>
      <c r="AC339" s="310" t="e">
        <f t="shared" ca="1" si="170"/>
        <v>#N/A</v>
      </c>
      <c r="AD339" s="323" t="e">
        <f t="shared" ca="1" si="171"/>
        <v>#N/A</v>
      </c>
      <c r="AE339" s="324">
        <f t="shared" ca="1" si="150"/>
        <v>1395.7704292761664</v>
      </c>
      <c r="AG339" s="306">
        <f t="shared" ca="1" si="172"/>
        <v>-1.7768837469624719</v>
      </c>
      <c r="AH339" s="304">
        <f t="shared" ca="1" si="173"/>
        <v>-0.24945653576267854</v>
      </c>
    </row>
    <row r="340" spans="1:34" x14ac:dyDescent="0.2">
      <c r="A340" s="347">
        <f t="shared" ca="1" si="151"/>
        <v>0.1</v>
      </c>
      <c r="B340" s="304">
        <f t="shared" ca="1" si="152"/>
        <v>15.599999999999962</v>
      </c>
      <c r="D340" s="306">
        <f t="shared" ca="1" si="153"/>
        <v>-0.24449430049044488</v>
      </c>
      <c r="E340" s="307">
        <f t="shared" ca="1" si="154"/>
        <v>-9.8381938676964218</v>
      </c>
      <c r="F340" s="304">
        <f t="shared" ca="1" si="155"/>
        <v>9.841231429112506</v>
      </c>
      <c r="G340" s="306">
        <f t="shared" ca="1" si="156"/>
        <v>23.162462927708418</v>
      </c>
      <c r="H340" s="307">
        <f t="shared" ca="1" si="157"/>
        <v>1.6899801169070412</v>
      </c>
      <c r="I340" s="304">
        <f t="shared" ca="1" si="158"/>
        <v>23.224033277469442</v>
      </c>
      <c r="J340" s="306">
        <f t="shared" ca="1" si="159"/>
        <v>439.19790574975741</v>
      </c>
      <c r="K340" s="307">
        <f t="shared" ca="1" si="160"/>
        <v>1395.9886182571956</v>
      </c>
      <c r="L340" s="304">
        <f t="shared" ca="1" si="145"/>
        <v>1463.4476494629409</v>
      </c>
      <c r="M340" s="306">
        <f t="shared" ca="1" si="161"/>
        <v>7.2832963367477771E-2</v>
      </c>
      <c r="N340" s="304">
        <f t="shared" ca="1" si="162"/>
        <v>4.1730214103874079</v>
      </c>
      <c r="P340" s="310">
        <f t="shared" ca="1" si="163"/>
        <v>23</v>
      </c>
      <c r="Q340" s="304">
        <f t="shared" ca="1" si="164"/>
        <v>0</v>
      </c>
      <c r="R340" s="306">
        <f t="shared" ca="1" si="165"/>
        <v>0</v>
      </c>
      <c r="S340" s="307">
        <f t="shared" ca="1" si="166"/>
        <v>7.4799999999999969</v>
      </c>
      <c r="T340" s="304">
        <f t="shared" ca="1" si="146"/>
        <v>73.37879999999997</v>
      </c>
      <c r="U340" s="311">
        <f t="shared" ca="1" si="147"/>
        <v>0</v>
      </c>
      <c r="V340" s="306">
        <f t="shared" ca="1" si="148"/>
        <v>1.0651489094169877</v>
      </c>
      <c r="W340" s="304">
        <f t="shared" ca="1" si="149"/>
        <v>1.8225597161580072</v>
      </c>
      <c r="Y340" s="314" t="str">
        <f t="shared" ca="1" si="167"/>
        <v/>
      </c>
      <c r="Z340" s="315" t="str">
        <f t="shared" ca="1" si="168"/>
        <v/>
      </c>
      <c r="AA340" s="316" t="str">
        <f t="shared" ca="1" si="169"/>
        <v/>
      </c>
      <c r="AC340" s="310" t="e">
        <f t="shared" ca="1" si="170"/>
        <v>#N/A</v>
      </c>
      <c r="AD340" s="323" t="e">
        <f t="shared" ca="1" si="171"/>
        <v>#N/A</v>
      </c>
      <c r="AE340" s="324">
        <f t="shared" ca="1" si="150"/>
        <v>1395.9886182571956</v>
      </c>
      <c r="AG340" s="306">
        <f t="shared" ca="1" si="172"/>
        <v>-1.3699077921623504</v>
      </c>
      <c r="AH340" s="304">
        <f t="shared" ca="1" si="173"/>
        <v>-0.24611452039242881</v>
      </c>
    </row>
    <row r="341" spans="1:34" x14ac:dyDescent="0.2">
      <c r="A341" s="347">
        <f t="shared" ca="1" si="151"/>
        <v>0.1</v>
      </c>
      <c r="B341" s="304">
        <f t="shared" ca="1" si="152"/>
        <v>15.699999999999962</v>
      </c>
      <c r="D341" s="306">
        <f t="shared" ca="1" si="153"/>
        <v>-0.24301174339323262</v>
      </c>
      <c r="E341" s="307">
        <f t="shared" ca="1" si="154"/>
        <v>-9.8277306280334376</v>
      </c>
      <c r="F341" s="304">
        <f t="shared" ca="1" si="155"/>
        <v>9.8307346625068419</v>
      </c>
      <c r="G341" s="306">
        <f t="shared" ca="1" si="156"/>
        <v>23.138161753369094</v>
      </c>
      <c r="H341" s="307">
        <f t="shared" ca="1" si="157"/>
        <v>0.70720705410369744</v>
      </c>
      <c r="I341" s="304">
        <f t="shared" ca="1" si="158"/>
        <v>23.148966956269266</v>
      </c>
      <c r="J341" s="306">
        <f t="shared" ca="1" si="159"/>
        <v>441.5129369838113</v>
      </c>
      <c r="K341" s="307">
        <f t="shared" ca="1" si="160"/>
        <v>1396.1084776157461</v>
      </c>
      <c r="L341" s="304">
        <f t="shared" ca="1" si="145"/>
        <v>1464.2583634026569</v>
      </c>
      <c r="M341" s="306">
        <f t="shared" ca="1" si="161"/>
        <v>3.0555018283201014E-2</v>
      </c>
      <c r="N341" s="304">
        <f t="shared" ca="1" si="162"/>
        <v>1.7506735905724844</v>
      </c>
      <c r="P341" s="310">
        <f t="shared" ca="1" si="163"/>
        <v>23</v>
      </c>
      <c r="Q341" s="304">
        <f t="shared" ca="1" si="164"/>
        <v>0</v>
      </c>
      <c r="R341" s="306">
        <f t="shared" ca="1" si="165"/>
        <v>0</v>
      </c>
      <c r="S341" s="307">
        <f t="shared" ca="1" si="166"/>
        <v>7.4799999999999969</v>
      </c>
      <c r="T341" s="304">
        <f t="shared" ca="1" si="146"/>
        <v>73.37879999999997</v>
      </c>
      <c r="U341" s="311">
        <f t="shared" ca="1" si="147"/>
        <v>0</v>
      </c>
      <c r="V341" s="306">
        <f t="shared" ca="1" si="148"/>
        <v>1.065136080178458</v>
      </c>
      <c r="W341" s="304">
        <f t="shared" ca="1" si="149"/>
        <v>1.810774940945244</v>
      </c>
      <c r="Y341" s="314" t="str">
        <f t="shared" ca="1" si="167"/>
        <v>Apogée</v>
      </c>
      <c r="Z341" s="315" t="str">
        <f t="shared" ca="1" si="168"/>
        <v/>
      </c>
      <c r="AA341" s="316" t="str">
        <f t="shared" ca="1" si="169"/>
        <v/>
      </c>
      <c r="AC341" s="310" t="e">
        <f t="shared" ca="1" si="170"/>
        <v>#N/A</v>
      </c>
      <c r="AD341" s="323" t="e">
        <f t="shared" ca="1" si="171"/>
        <v>#N/A</v>
      </c>
      <c r="AE341" s="324">
        <f t="shared" ca="1" si="150"/>
        <v>1396.1084776157461</v>
      </c>
      <c r="AG341" s="306">
        <f t="shared" ca="1" si="172"/>
        <v>-0.95751756757134032</v>
      </c>
      <c r="AH341" s="304">
        <f t="shared" ca="1" si="173"/>
        <v>-0.24365771606390479</v>
      </c>
    </row>
    <row r="342" spans="1:34" x14ac:dyDescent="0.2">
      <c r="A342" s="347">
        <f t="shared" ca="1" si="151"/>
        <v>0.1</v>
      </c>
      <c r="B342" s="304">
        <f t="shared" ca="1" si="152"/>
        <v>15.799999999999962</v>
      </c>
      <c r="D342" s="306">
        <f t="shared" ca="1" si="153"/>
        <v>-0.24196921506507046</v>
      </c>
      <c r="E342" s="307">
        <f t="shared" ca="1" si="154"/>
        <v>-9.8173956754902996</v>
      </c>
      <c r="F342" s="304">
        <f t="shared" ca="1" si="155"/>
        <v>9.8203771287142967</v>
      </c>
      <c r="G342" s="306">
        <f t="shared" ca="1" si="156"/>
        <v>23.113964831862585</v>
      </c>
      <c r="H342" s="307">
        <f t="shared" ca="1" si="157"/>
        <v>-0.27453251344533258</v>
      </c>
      <c r="I342" s="304">
        <f t="shared" ca="1" si="158"/>
        <v>23.115595132929606</v>
      </c>
      <c r="J342" s="306">
        <f t="shared" ca="1" si="159"/>
        <v>443.8255433130729</v>
      </c>
      <c r="K342" s="307">
        <f t="shared" ca="1" si="160"/>
        <v>1396.1301113427789</v>
      </c>
      <c r="L342" s="304">
        <f t="shared" ca="1" si="145"/>
        <v>1464.9779522897759</v>
      </c>
      <c r="M342" s="306">
        <f t="shared" ca="1" si="161"/>
        <v>-1.1876785613449414E-2</v>
      </c>
      <c r="N342" s="304">
        <f t="shared" ca="1" si="162"/>
        <v>-0.68048968983234581</v>
      </c>
      <c r="P342" s="310">
        <f t="shared" ca="1" si="163"/>
        <v>23</v>
      </c>
      <c r="Q342" s="304">
        <f t="shared" ca="1" si="164"/>
        <v>0</v>
      </c>
      <c r="R342" s="306">
        <f t="shared" ca="1" si="165"/>
        <v>0</v>
      </c>
      <c r="S342" s="307">
        <f t="shared" ca="1" si="166"/>
        <v>7.4799999999999969</v>
      </c>
      <c r="T342" s="304">
        <f t="shared" ca="1" si="146"/>
        <v>73.37879999999997</v>
      </c>
      <c r="U342" s="311">
        <f t="shared" ca="1" si="147"/>
        <v>0</v>
      </c>
      <c r="V342" s="306">
        <f t="shared" ca="1" si="148"/>
        <v>1.0651337646111769</v>
      </c>
      <c r="W342" s="304">
        <f t="shared" ca="1" si="149"/>
        <v>1.8055539100080269</v>
      </c>
      <c r="Y342" s="314" t="str">
        <f t="shared" ca="1" si="167"/>
        <v/>
      </c>
      <c r="Z342" s="315" t="str">
        <f t="shared" ca="1" si="168"/>
        <v/>
      </c>
      <c r="AA342" s="316" t="str">
        <f t="shared" ca="1" si="169"/>
        <v/>
      </c>
      <c r="AC342" s="310" t="e">
        <f t="shared" ca="1" si="170"/>
        <v>#N/A</v>
      </c>
      <c r="AD342" s="323" t="e">
        <f t="shared" ca="1" si="171"/>
        <v>#N/A</v>
      </c>
      <c r="AE342" s="324">
        <f t="shared" ca="1" si="150"/>
        <v>1396.1301113427789</v>
      </c>
      <c r="AG342" s="306">
        <f t="shared" ca="1" si="172"/>
        <v>-0.54178030215506712</v>
      </c>
      <c r="AH342" s="304">
        <f t="shared" ca="1" si="173"/>
        <v>-0.24208221135631616</v>
      </c>
    </row>
    <row r="343" spans="1:34" x14ac:dyDescent="0.2">
      <c r="A343" s="347">
        <f t="shared" ca="1" si="151"/>
        <v>0.1</v>
      </c>
      <c r="B343" s="304">
        <f t="shared" ca="1" si="152"/>
        <v>15.899999999999961</v>
      </c>
      <c r="D343" s="306">
        <f t="shared" ca="1" si="153"/>
        <v>-0.2413671881765041</v>
      </c>
      <c r="E343" s="307">
        <f t="shared" ca="1" si="154"/>
        <v>-9.8071331988555261</v>
      </c>
      <c r="F343" s="304">
        <f t="shared" ca="1" si="155"/>
        <v>9.8101029403173161</v>
      </c>
      <c r="G343" s="306">
        <f t="shared" ca="1" si="156"/>
        <v>23.089828113044934</v>
      </c>
      <c r="H343" s="307">
        <f t="shared" ca="1" si="157"/>
        <v>-1.2552458333308851</v>
      </c>
      <c r="I343" s="304">
        <f t="shared" ca="1" si="158"/>
        <v>23.123922772575909</v>
      </c>
      <c r="J343" s="306">
        <f t="shared" ca="1" si="159"/>
        <v>446.13573296031825</v>
      </c>
      <c r="K343" s="307">
        <f t="shared" ca="1" si="160"/>
        <v>1396.0536224254402</v>
      </c>
      <c r="L343" s="304">
        <f t="shared" ca="1" si="145"/>
        <v>1465.6066351211821</v>
      </c>
      <c r="M343" s="306">
        <f t="shared" ca="1" si="161"/>
        <v>-5.4310124401234748E-2</v>
      </c>
      <c r="N343" s="304">
        <f t="shared" ca="1" si="162"/>
        <v>-3.1117409130212184</v>
      </c>
      <c r="P343" s="310">
        <f t="shared" ca="1" si="163"/>
        <v>23</v>
      </c>
      <c r="Q343" s="304">
        <f t="shared" ca="1" si="164"/>
        <v>0</v>
      </c>
      <c r="R343" s="306">
        <f t="shared" ca="1" si="165"/>
        <v>0</v>
      </c>
      <c r="S343" s="307">
        <f t="shared" ca="1" si="166"/>
        <v>7.4799999999999969</v>
      </c>
      <c r="T343" s="304">
        <f t="shared" ca="1" si="146"/>
        <v>73.37879999999997</v>
      </c>
      <c r="U343" s="311">
        <f t="shared" ca="1" si="147"/>
        <v>0</v>
      </c>
      <c r="V343" s="306">
        <f t="shared" ca="1" si="148"/>
        <v>1.0651419516280591</v>
      </c>
      <c r="W343" s="304">
        <f t="shared" ca="1" si="149"/>
        <v>1.8068689726116594</v>
      </c>
      <c r="Y343" s="314" t="str">
        <f t="shared" ca="1" si="167"/>
        <v/>
      </c>
      <c r="Z343" s="315" t="str">
        <f t="shared" ca="1" si="168"/>
        <v/>
      </c>
      <c r="AA343" s="316" t="str">
        <f t="shared" ca="1" si="169"/>
        <v/>
      </c>
      <c r="AC343" s="310" t="e">
        <f t="shared" ca="1" si="170"/>
        <v>#N/A</v>
      </c>
      <c r="AD343" s="323" t="e">
        <f t="shared" ca="1" si="171"/>
        <v>#N/A</v>
      </c>
      <c r="AE343" s="324">
        <f t="shared" ca="1" si="150"/>
        <v>1396.0536224254402</v>
      </c>
      <c r="AG343" s="306">
        <f t="shared" ca="1" si="172"/>
        <v>-0.12487568482241646</v>
      </c>
      <c r="AH343" s="304">
        <f t="shared" ca="1" si="173"/>
        <v>-0.24138421256791814</v>
      </c>
    </row>
    <row r="344" spans="1:34" x14ac:dyDescent="0.2">
      <c r="A344" s="347">
        <f t="shared" ca="1" si="151"/>
        <v>0.1</v>
      </c>
      <c r="B344" s="304">
        <f t="shared" ca="1" si="152"/>
        <v>15.999999999999961</v>
      </c>
      <c r="D344" s="306">
        <f t="shared" ca="1" si="153"/>
        <v>-0.2412038591666904</v>
      </c>
      <c r="E344" s="307">
        <f t="shared" ca="1" si="154"/>
        <v>-9.7968872934991129</v>
      </c>
      <c r="F344" s="304">
        <f t="shared" ca="1" si="155"/>
        <v>9.7998561184948674</v>
      </c>
      <c r="G344" s="306">
        <f t="shared" ca="1" si="156"/>
        <v>23.065707727128267</v>
      </c>
      <c r="H344" s="307">
        <f t="shared" ca="1" si="157"/>
        <v>-2.2349345626807966</v>
      </c>
      <c r="I344" s="304">
        <f t="shared" ca="1" si="158"/>
        <v>23.173730935107749</v>
      </c>
      <c r="J344" s="306">
        <f t="shared" ca="1" si="159"/>
        <v>448.44350975232692</v>
      </c>
      <c r="K344" s="307">
        <f t="shared" ca="1" si="160"/>
        <v>1395.8791134056396</v>
      </c>
      <c r="L344" s="304">
        <f t="shared" ca="1" si="145"/>
        <v>1466.1446315698529</v>
      </c>
      <c r="M344" s="306">
        <f t="shared" ca="1" si="161"/>
        <v>-9.6592721138145682E-2</v>
      </c>
      <c r="N344" s="304">
        <f t="shared" ca="1" si="162"/>
        <v>-5.5343552528998412</v>
      </c>
      <c r="P344" s="310">
        <f t="shared" ca="1" si="163"/>
        <v>23</v>
      </c>
      <c r="Q344" s="304">
        <f t="shared" ca="1" si="164"/>
        <v>0</v>
      </c>
      <c r="R344" s="306">
        <f t="shared" ca="1" si="165"/>
        <v>0</v>
      </c>
      <c r="S344" s="307">
        <f t="shared" ca="1" si="166"/>
        <v>7.4799999999999969</v>
      </c>
      <c r="T344" s="304">
        <f t="shared" ca="1" si="146"/>
        <v>73.37879999999997</v>
      </c>
      <c r="U344" s="311">
        <f t="shared" ca="1" si="147"/>
        <v>0</v>
      </c>
      <c r="V344" s="306">
        <f t="shared" ca="1" si="148"/>
        <v>1.0651606304785546</v>
      </c>
      <c r="W344" s="304">
        <f t="shared" ca="1" si="149"/>
        <v>1.8146930501503418</v>
      </c>
      <c r="Y344" s="314" t="str">
        <f t="shared" ca="1" si="167"/>
        <v/>
      </c>
      <c r="Z344" s="315" t="str">
        <f t="shared" ca="1" si="168"/>
        <v/>
      </c>
      <c r="AA344" s="316" t="str">
        <f t="shared" ca="1" si="169"/>
        <v/>
      </c>
      <c r="AC344" s="310">
        <f t="shared" ca="1" si="170"/>
        <v>15.999999999999961</v>
      </c>
      <c r="AD344" s="323">
        <f t="shared" ca="1" si="171"/>
        <v>448.44350975232692</v>
      </c>
      <c r="AE344" s="324">
        <f t="shared" ca="1" si="150"/>
        <v>1395.8791134056396</v>
      </c>
      <c r="AG344" s="306">
        <f t="shared" ca="1" si="172"/>
        <v>0.29096042105772796</v>
      </c>
      <c r="AH344" s="304">
        <f t="shared" ca="1" si="173"/>
        <v>-0.24156002307642516</v>
      </c>
    </row>
    <row r="345" spans="1:34" x14ac:dyDescent="0.2">
      <c r="A345" s="347">
        <f t="shared" ca="1" si="151"/>
        <v>0.1</v>
      </c>
      <c r="B345" s="304">
        <f t="shared" ca="1" si="152"/>
        <v>16.099999999999962</v>
      </c>
      <c r="D345" s="306">
        <f t="shared" ca="1" si="153"/>
        <v>-0.24147512669417709</v>
      </c>
      <c r="E345" s="307">
        <f t="shared" ca="1" si="154"/>
        <v>-9.7866024475354898</v>
      </c>
      <c r="F345" s="304">
        <f t="shared" ca="1" si="155"/>
        <v>9.7895810790308904</v>
      </c>
      <c r="G345" s="306">
        <f t="shared" ca="1" si="156"/>
        <v>23.041560214458848</v>
      </c>
      <c r="H345" s="307">
        <f t="shared" ca="1" si="157"/>
        <v>-3.2135948074343457</v>
      </c>
      <c r="I345" s="304">
        <f t="shared" ca="1" si="158"/>
        <v>23.264580131670158</v>
      </c>
      <c r="J345" s="306">
        <f t="shared" ca="1" si="159"/>
        <v>450.74887314940628</v>
      </c>
      <c r="K345" s="307">
        <f t="shared" ca="1" si="160"/>
        <v>1395.6066869371339</v>
      </c>
      <c r="L345" s="304">
        <f t="shared" ca="1" si="145"/>
        <v>1466.5921625554606</v>
      </c>
      <c r="M345" s="306">
        <f t="shared" ca="1" si="161"/>
        <v>-0.13857559835857086</v>
      </c>
      <c r="N345" s="304">
        <f t="shared" ca="1" si="162"/>
        <v>-7.9397969294461284</v>
      </c>
      <c r="P345" s="310">
        <f t="shared" ca="1" si="163"/>
        <v>23</v>
      </c>
      <c r="Q345" s="304">
        <f t="shared" ca="1" si="164"/>
        <v>0</v>
      </c>
      <c r="R345" s="306">
        <f t="shared" ca="1" si="165"/>
        <v>0</v>
      </c>
      <c r="S345" s="307">
        <f t="shared" ca="1" si="166"/>
        <v>7.4799999999999969</v>
      </c>
      <c r="T345" s="304">
        <f t="shared" ca="1" si="146"/>
        <v>73.37879999999997</v>
      </c>
      <c r="U345" s="311">
        <f t="shared" ca="1" si="147"/>
        <v>0</v>
      </c>
      <c r="V345" s="306">
        <f t="shared" ca="1" si="148"/>
        <v>1.0651897906880312</v>
      </c>
      <c r="W345" s="304">
        <f t="shared" ca="1" si="149"/>
        <v>1.8289994836966939</v>
      </c>
      <c r="Y345" s="314" t="str">
        <f t="shared" ca="1" si="167"/>
        <v/>
      </c>
      <c r="Z345" s="315" t="str">
        <f t="shared" ca="1" si="168"/>
        <v/>
      </c>
      <c r="AA345" s="316" t="str">
        <f t="shared" ca="1" si="169"/>
        <v/>
      </c>
      <c r="AC345" s="310" t="e">
        <f t="shared" ca="1" si="170"/>
        <v>#N/A</v>
      </c>
      <c r="AD345" s="323" t="e">
        <f t="shared" ca="1" si="171"/>
        <v>#N/A</v>
      </c>
      <c r="AE345" s="324">
        <f t="shared" ca="1" si="150"/>
        <v>1395.6066869371339</v>
      </c>
      <c r="AG345" s="306">
        <f t="shared" ca="1" si="172"/>
        <v>0.70349575608544912</v>
      </c>
      <c r="AH345" s="304">
        <f t="shared" ca="1" si="173"/>
        <v>-0.242606022747372</v>
      </c>
    </row>
    <row r="346" spans="1:34" x14ac:dyDescent="0.2">
      <c r="A346" s="347">
        <f t="shared" ca="1" si="151"/>
        <v>0.1</v>
      </c>
      <c r="B346" s="304">
        <f t="shared" ca="1" si="152"/>
        <v>16.199999999999964</v>
      </c>
      <c r="D346" s="306">
        <f t="shared" ca="1" si="153"/>
        <v>-0.2421746323924224</v>
      </c>
      <c r="E346" s="307">
        <f t="shared" ca="1" si="154"/>
        <v>-9.7762240258947291</v>
      </c>
      <c r="F346" s="304">
        <f t="shared" ca="1" si="155"/>
        <v>9.7792231162324832</v>
      </c>
      <c r="G346" s="306">
        <f t="shared" ca="1" si="156"/>
        <v>23.017342751219605</v>
      </c>
      <c r="H346" s="307">
        <f t="shared" ca="1" si="157"/>
        <v>-4.1912172100238188</v>
      </c>
      <c r="I346" s="304">
        <f t="shared" ca="1" si="158"/>
        <v>23.395819477605855</v>
      </c>
      <c r="J346" s="306">
        <f t="shared" ca="1" si="159"/>
        <v>453.0518182976902</v>
      </c>
      <c r="K346" s="307">
        <f t="shared" ca="1" si="160"/>
        <v>1395.236446336261</v>
      </c>
      <c r="L346" s="304">
        <f t="shared" ca="1" si="145"/>
        <v>1466.9494508154946</v>
      </c>
      <c r="M346" s="306">
        <f t="shared" ca="1" si="161"/>
        <v>-0.1801161559247301</v>
      </c>
      <c r="N346" s="304">
        <f t="shared" ca="1" si="162"/>
        <v>-10.319895556607293</v>
      </c>
      <c r="P346" s="310">
        <f t="shared" ca="1" si="163"/>
        <v>23</v>
      </c>
      <c r="Q346" s="304">
        <f t="shared" ca="1" si="164"/>
        <v>0</v>
      </c>
      <c r="R346" s="306">
        <f t="shared" ca="1" si="165"/>
        <v>0</v>
      </c>
      <c r="S346" s="307">
        <f t="shared" ca="1" si="166"/>
        <v>7.4799999999999969</v>
      </c>
      <c r="T346" s="304">
        <f t="shared" ca="1" si="146"/>
        <v>73.37879999999997</v>
      </c>
      <c r="U346" s="311">
        <f t="shared" ca="1" si="147"/>
        <v>0</v>
      </c>
      <c r="V346" s="306">
        <f t="shared" ca="1" si="148"/>
        <v>1.0652294219978486</v>
      </c>
      <c r="W346" s="304">
        <f t="shared" ca="1" si="149"/>
        <v>1.8497618843566461</v>
      </c>
      <c r="Y346" s="314" t="str">
        <f t="shared" ca="1" si="167"/>
        <v/>
      </c>
      <c r="Z346" s="315" t="str">
        <f t="shared" ca="1" si="168"/>
        <v/>
      </c>
      <c r="AA346" s="316" t="str">
        <f t="shared" ca="1" si="169"/>
        <v/>
      </c>
      <c r="AC346" s="310" t="e">
        <f t="shared" ca="1" si="170"/>
        <v>#N/A</v>
      </c>
      <c r="AD346" s="323" t="e">
        <f t="shared" ca="1" si="171"/>
        <v>#N/A</v>
      </c>
      <c r="AE346" s="324">
        <f t="shared" ca="1" si="150"/>
        <v>1395.236446336261</v>
      </c>
      <c r="AG346" s="306">
        <f t="shared" ca="1" si="172"/>
        <v>1.1105612585749658</v>
      </c>
      <c r="AH346" s="304">
        <f t="shared" ca="1" si="173"/>
        <v>-0.24451864755303404</v>
      </c>
    </row>
    <row r="347" spans="1:34" x14ac:dyDescent="0.2">
      <c r="A347" s="347">
        <f t="shared" ca="1" si="151"/>
        <v>0.1</v>
      </c>
      <c r="B347" s="304">
        <f t="shared" ca="1" si="152"/>
        <v>16.299999999999965</v>
      </c>
      <c r="D347" s="306">
        <f t="shared" ca="1" si="153"/>
        <v>-0.24329386154671265</v>
      </c>
      <c r="E347" s="307">
        <f t="shared" ca="1" si="154"/>
        <v>-9.7656987341836548</v>
      </c>
      <c r="F347" s="304">
        <f t="shared" ca="1" si="155"/>
        <v>9.7687288666388188</v>
      </c>
      <c r="G347" s="306">
        <f t="shared" ca="1" si="156"/>
        <v>22.993013365064932</v>
      </c>
      <c r="H347" s="307">
        <f t="shared" ca="1" si="157"/>
        <v>-5.1677870834421844</v>
      </c>
      <c r="I347" s="304">
        <f t="shared" ca="1" si="158"/>
        <v>23.566601090226108</v>
      </c>
      <c r="J347" s="306">
        <f t="shared" ca="1" si="159"/>
        <v>455.35233610350446</v>
      </c>
      <c r="K347" s="307">
        <f t="shared" ca="1" si="160"/>
        <v>1394.7684961215878</v>
      </c>
      <c r="L347" s="304">
        <f t="shared" ca="1" si="145"/>
        <v>1467.216721472392</v>
      </c>
      <c r="M347" s="306">
        <f t="shared" ca="1" si="161"/>
        <v>-0.22108091948119041</v>
      </c>
      <c r="N347" s="304">
        <f t="shared" ca="1" si="162"/>
        <v>-12.667003617143791</v>
      </c>
      <c r="P347" s="310">
        <f t="shared" ca="1" si="163"/>
        <v>23</v>
      </c>
      <c r="Q347" s="304">
        <f t="shared" ca="1" si="164"/>
        <v>0</v>
      </c>
      <c r="R347" s="306">
        <f t="shared" ca="1" si="165"/>
        <v>0</v>
      </c>
      <c r="S347" s="307">
        <f t="shared" ca="1" si="166"/>
        <v>7.4799999999999969</v>
      </c>
      <c r="T347" s="304">
        <f t="shared" ca="1" si="146"/>
        <v>73.37879999999997</v>
      </c>
      <c r="U347" s="311">
        <f t="shared" ca="1" si="147"/>
        <v>0</v>
      </c>
      <c r="V347" s="306">
        <f t="shared" ca="1" si="148"/>
        <v>1.0652795143066236</v>
      </c>
      <c r="W347" s="304">
        <f t="shared" ca="1" si="149"/>
        <v>1.8769539876261359</v>
      </c>
      <c r="Y347" s="314" t="str">
        <f t="shared" ca="1" si="167"/>
        <v/>
      </c>
      <c r="Z347" s="315" t="str">
        <f t="shared" ca="1" si="168"/>
        <v/>
      </c>
      <c r="AA347" s="316" t="str">
        <f t="shared" ca="1" si="169"/>
        <v/>
      </c>
      <c r="AC347" s="310" t="e">
        <f t="shared" ca="1" si="170"/>
        <v>#N/A</v>
      </c>
      <c r="AD347" s="323" t="e">
        <f t="shared" ca="1" si="171"/>
        <v>#N/A</v>
      </c>
      <c r="AE347" s="324">
        <f t="shared" ca="1" si="150"/>
        <v>1394.7684961215878</v>
      </c>
      <c r="AG347" s="306">
        <f t="shared" ca="1" si="172"/>
        <v>1.5101068135675884</v>
      </c>
      <c r="AH347" s="304">
        <f t="shared" ca="1" si="173"/>
        <v>-0.24729436956639664</v>
      </c>
    </row>
    <row r="348" spans="1:34" x14ac:dyDescent="0.2">
      <c r="A348" s="347">
        <f t="shared" ca="1" si="151"/>
        <v>0.1</v>
      </c>
      <c r="B348" s="304">
        <f t="shared" ca="1" si="152"/>
        <v>16.399999999999967</v>
      </c>
      <c r="D348" s="306">
        <f t="shared" ca="1" si="153"/>
        <v>-0.24482229771414721</v>
      </c>
      <c r="E348" s="307">
        <f t="shared" ca="1" si="154"/>
        <v>-9.7549750457768134</v>
      </c>
      <c r="F348" s="304">
        <f t="shared" ca="1" si="155"/>
        <v>9.7580467359603471</v>
      </c>
      <c r="G348" s="306">
        <f t="shared" ca="1" si="156"/>
        <v>22.968531135293517</v>
      </c>
      <c r="H348" s="307">
        <f t="shared" ca="1" si="157"/>
        <v>-6.1432845880198661</v>
      </c>
      <c r="I348" s="304">
        <f t="shared" ca="1" si="158"/>
        <v>23.775898890312227</v>
      </c>
      <c r="J348" s="306">
        <f t="shared" ca="1" si="159"/>
        <v>457.6504133285224</v>
      </c>
      <c r="K348" s="307">
        <f t="shared" ca="1" si="160"/>
        <v>1394.2029425380147</v>
      </c>
      <c r="L348" s="304">
        <f t="shared" ca="1" si="145"/>
        <v>1467.3942025922775</v>
      </c>
      <c r="M348" s="306">
        <f t="shared" ca="1" si="161"/>
        <v>-0.26134783581171156</v>
      </c>
      <c r="N348" s="304">
        <f t="shared" ca="1" si="162"/>
        <v>-14.974127976889065</v>
      </c>
      <c r="P348" s="310">
        <f t="shared" ca="1" si="163"/>
        <v>23</v>
      </c>
      <c r="Q348" s="304">
        <f t="shared" ca="1" si="164"/>
        <v>0</v>
      </c>
      <c r="R348" s="306">
        <f t="shared" ca="1" si="165"/>
        <v>0</v>
      </c>
      <c r="S348" s="307">
        <f t="shared" ca="1" si="166"/>
        <v>7.4799999999999969</v>
      </c>
      <c r="T348" s="304">
        <f t="shared" ca="1" si="146"/>
        <v>73.37879999999997</v>
      </c>
      <c r="U348" s="311">
        <f t="shared" ca="1" si="147"/>
        <v>0</v>
      </c>
      <c r="V348" s="306">
        <f t="shared" ca="1" si="148"/>
        <v>1.0653400576131531</v>
      </c>
      <c r="W348" s="304">
        <f t="shared" ca="1" si="149"/>
        <v>1.9105495128668517</v>
      </c>
      <c r="Y348" s="314" t="str">
        <f t="shared" ca="1" si="167"/>
        <v/>
      </c>
      <c r="Z348" s="315" t="str">
        <f t="shared" ca="1" si="168"/>
        <v/>
      </c>
      <c r="AA348" s="316" t="str">
        <f t="shared" ca="1" si="169"/>
        <v/>
      </c>
      <c r="AC348" s="310" t="e">
        <f t="shared" ca="1" si="170"/>
        <v>#N/A</v>
      </c>
      <c r="AD348" s="323" t="e">
        <f t="shared" ca="1" si="171"/>
        <v>#N/A</v>
      </c>
      <c r="AE348" s="324">
        <f t="shared" ca="1" si="150"/>
        <v>1394.2029425380147</v>
      </c>
      <c r="AG348" s="306">
        <f t="shared" ca="1" si="172"/>
        <v>1.9002499132567652</v>
      </c>
      <c r="AH348" s="304">
        <f t="shared" ca="1" si="173"/>
        <v>-0.25092967749012524</v>
      </c>
    </row>
    <row r="349" spans="1:34" x14ac:dyDescent="0.2">
      <c r="A349" s="347">
        <f t="shared" ca="1" si="151"/>
        <v>0.1</v>
      </c>
      <c r="B349" s="304">
        <f t="shared" ca="1" si="152"/>
        <v>16.499999999999968</v>
      </c>
      <c r="D349" s="306">
        <f t="shared" ca="1" si="153"/>
        <v>-0.24674762234477882</v>
      </c>
      <c r="E349" s="307">
        <f t="shared" ca="1" si="154"/>
        <v>-9.7440035783502079</v>
      </c>
      <c r="F349" s="304">
        <f t="shared" ca="1" si="155"/>
        <v>9.747127275460933</v>
      </c>
      <c r="G349" s="306">
        <f t="shared" ca="1" si="156"/>
        <v>22.943856373059038</v>
      </c>
      <c r="H349" s="307">
        <f t="shared" ca="1" si="157"/>
        <v>-7.1176849458548865</v>
      </c>
      <c r="I349" s="304">
        <f t="shared" ca="1" si="158"/>
        <v>24.022530762931932</v>
      </c>
      <c r="J349" s="306">
        <f t="shared" ca="1" si="159"/>
        <v>459.94603270394003</v>
      </c>
      <c r="K349" s="307">
        <f t="shared" ca="1" si="160"/>
        <v>1393.5398940613209</v>
      </c>
      <c r="L349" s="304">
        <f t="shared" ca="1" si="145"/>
        <v>1467.4821257311896</v>
      </c>
      <c r="M349" s="306">
        <f t="shared" ca="1" si="161"/>
        <v>-0.30080803193487538</v>
      </c>
      <c r="N349" s="304">
        <f t="shared" ca="1" si="162"/>
        <v>-17.235030673504845</v>
      </c>
      <c r="P349" s="310">
        <f t="shared" ca="1" si="163"/>
        <v>23</v>
      </c>
      <c r="Q349" s="304">
        <f t="shared" ca="1" si="164"/>
        <v>0</v>
      </c>
      <c r="R349" s="306">
        <f t="shared" ca="1" si="165"/>
        <v>0</v>
      </c>
      <c r="S349" s="307">
        <f t="shared" ca="1" si="166"/>
        <v>7.4799999999999969</v>
      </c>
      <c r="T349" s="304">
        <f t="shared" ca="1" si="146"/>
        <v>73.37879999999997</v>
      </c>
      <c r="U349" s="311">
        <f t="shared" ca="1" si="147"/>
        <v>0</v>
      </c>
      <c r="V349" s="306">
        <f t="shared" ca="1" si="148"/>
        <v>1.0654110419614109</v>
      </c>
      <c r="W349" s="304">
        <f t="shared" ca="1" si="149"/>
        <v>1.9505220288998921</v>
      </c>
      <c r="Y349" s="314" t="str">
        <f t="shared" ca="1" si="167"/>
        <v/>
      </c>
      <c r="Z349" s="315" t="str">
        <f t="shared" ca="1" si="168"/>
        <v/>
      </c>
      <c r="AA349" s="316" t="str">
        <f t="shared" ca="1" si="169"/>
        <v/>
      </c>
      <c r="AC349" s="310" t="e">
        <f t="shared" ca="1" si="170"/>
        <v>#N/A</v>
      </c>
      <c r="AD349" s="323" t="e">
        <f t="shared" ca="1" si="171"/>
        <v>#N/A</v>
      </c>
      <c r="AE349" s="324">
        <f t="shared" ca="1" si="150"/>
        <v>1393.5398940613209</v>
      </c>
      <c r="AG349" s="306">
        <f t="shared" ca="1" si="172"/>
        <v>2.2793147301019623</v>
      </c>
      <c r="AH349" s="304">
        <f t="shared" ca="1" si="173"/>
        <v>-0.25542105786990005</v>
      </c>
    </row>
    <row r="350" spans="1:34" x14ac:dyDescent="0.2">
      <c r="A350" s="347">
        <f t="shared" ca="1" si="151"/>
        <v>0.1</v>
      </c>
      <c r="B350" s="304">
        <f t="shared" ca="1" si="152"/>
        <v>16.599999999999969</v>
      </c>
      <c r="D350" s="306">
        <f t="shared" ca="1" si="153"/>
        <v>-0.24905594840686215</v>
      </c>
      <c r="E350" s="307">
        <f t="shared" ca="1" si="154"/>
        <v>-9.7327374097088288</v>
      </c>
      <c r="F350" s="304">
        <f t="shared" ca="1" si="155"/>
        <v>9.7359234976340367</v>
      </c>
      <c r="G350" s="306">
        <f t="shared" ca="1" si="156"/>
        <v>22.918950778218353</v>
      </c>
      <c r="H350" s="307">
        <f t="shared" ca="1" si="157"/>
        <v>-8.0909586868257701</v>
      </c>
      <c r="I350" s="304">
        <f t="shared" ca="1" si="158"/>
        <v>24.305182929702813</v>
      </c>
      <c r="J350" s="306">
        <f t="shared" ca="1" si="159"/>
        <v>462.23917306150389</v>
      </c>
      <c r="K350" s="307">
        <f t="shared" ca="1" si="160"/>
        <v>1392.7794618796868</v>
      </c>
      <c r="L350" s="304">
        <f t="shared" ca="1" si="145"/>
        <v>1467.480726465071</v>
      </c>
      <c r="M350" s="306">
        <f t="shared" ca="1" si="161"/>
        <v>-0.33936699919451974</v>
      </c>
      <c r="N350" s="304">
        <f t="shared" ca="1" si="162"/>
        <v>-19.44429675986559</v>
      </c>
      <c r="P350" s="310">
        <f t="shared" ca="1" si="163"/>
        <v>23</v>
      </c>
      <c r="Q350" s="304">
        <f t="shared" ca="1" si="164"/>
        <v>0</v>
      </c>
      <c r="R350" s="306">
        <f t="shared" ca="1" si="165"/>
        <v>0</v>
      </c>
      <c r="S350" s="307">
        <f t="shared" ca="1" si="166"/>
        <v>7.4799999999999969</v>
      </c>
      <c r="T350" s="304">
        <f t="shared" ca="1" si="146"/>
        <v>73.37879999999997</v>
      </c>
      <c r="U350" s="311">
        <f t="shared" ca="1" si="147"/>
        <v>0</v>
      </c>
      <c r="V350" s="306">
        <f t="shared" ca="1" si="148"/>
        <v>1.0654924573879843</v>
      </c>
      <c r="W350" s="304">
        <f t="shared" ca="1" si="149"/>
        <v>1.9968448265675549</v>
      </c>
      <c r="Y350" s="314" t="str">
        <f t="shared" ca="1" si="167"/>
        <v/>
      </c>
      <c r="Z350" s="315" t="str">
        <f t="shared" ca="1" si="168"/>
        <v/>
      </c>
      <c r="AA350" s="316" t="str">
        <f t="shared" ca="1" si="169"/>
        <v/>
      </c>
      <c r="AC350" s="310" t="e">
        <f t="shared" ca="1" si="170"/>
        <v>#N/A</v>
      </c>
      <c r="AD350" s="323" t="e">
        <f t="shared" ca="1" si="171"/>
        <v>#N/A</v>
      </c>
      <c r="AE350" s="324">
        <f t="shared" ca="1" si="150"/>
        <v>1392.7794618796868</v>
      </c>
      <c r="AG350" s="306">
        <f t="shared" ca="1" si="172"/>
        <v>2.6458600578427438</v>
      </c>
      <c r="AH350" s="304">
        <f t="shared" ca="1" si="173"/>
        <v>-0.26076497712565416</v>
      </c>
    </row>
    <row r="351" spans="1:34" x14ac:dyDescent="0.2">
      <c r="A351" s="347">
        <f t="shared" ca="1" si="151"/>
        <v>0.1</v>
      </c>
      <c r="B351" s="304">
        <f t="shared" ca="1" si="152"/>
        <v>16.699999999999971</v>
      </c>
      <c r="D351" s="306">
        <f t="shared" ca="1" si="153"/>
        <v>-0.25173207600861902</v>
      </c>
      <c r="E351" s="307">
        <f t="shared" ca="1" si="154"/>
        <v>-9.7211323268310217</v>
      </c>
      <c r="F351" s="304">
        <f t="shared" ca="1" si="155"/>
        <v>9.7243911250962505</v>
      </c>
      <c r="G351" s="306">
        <f t="shared" ca="1" si="156"/>
        <v>22.893777570617491</v>
      </c>
      <c r="H351" s="307">
        <f t="shared" ca="1" si="157"/>
        <v>-9.0630719195088716</v>
      </c>
      <c r="I351" s="304">
        <f t="shared" ca="1" si="158"/>
        <v>24.622435380585301</v>
      </c>
      <c r="J351" s="306">
        <f t="shared" ca="1" si="159"/>
        <v>464.52980947894571</v>
      </c>
      <c r="K351" s="307">
        <f t="shared" ca="1" si="160"/>
        <v>1391.9217603493701</v>
      </c>
      <c r="L351" s="304">
        <f t="shared" ca="1" si="145"/>
        <v>1467.3902449003247</v>
      </c>
      <c r="M351" s="306">
        <f t="shared" ca="1" si="161"/>
        <v>-0.37694520636904966</v>
      </c>
      <c r="N351" s="304">
        <f t="shared" ca="1" si="162"/>
        <v>-21.597369432634384</v>
      </c>
      <c r="P351" s="310">
        <f t="shared" ca="1" si="163"/>
        <v>23</v>
      </c>
      <c r="Q351" s="304">
        <f t="shared" ca="1" si="164"/>
        <v>0</v>
      </c>
      <c r="R351" s="306">
        <f t="shared" ca="1" si="165"/>
        <v>0</v>
      </c>
      <c r="S351" s="307">
        <f t="shared" ca="1" si="166"/>
        <v>7.4799999999999969</v>
      </c>
      <c r="T351" s="304">
        <f t="shared" ca="1" si="146"/>
        <v>73.37879999999997</v>
      </c>
      <c r="U351" s="311">
        <f t="shared" ca="1" si="147"/>
        <v>0</v>
      </c>
      <c r="V351" s="306">
        <f t="shared" ca="1" si="148"/>
        <v>1.0655842938722369</v>
      </c>
      <c r="W351" s="304">
        <f t="shared" ca="1" si="149"/>
        <v>2.0494907989447215</v>
      </c>
      <c r="Y351" s="314" t="str">
        <f t="shared" ca="1" si="167"/>
        <v/>
      </c>
      <c r="Z351" s="315" t="str">
        <f t="shared" ca="1" si="168"/>
        <v/>
      </c>
      <c r="AA351" s="316" t="str">
        <f t="shared" ca="1" si="169"/>
        <v/>
      </c>
      <c r="AC351" s="310" t="e">
        <f t="shared" ca="1" si="170"/>
        <v>#N/A</v>
      </c>
      <c r="AD351" s="323" t="e">
        <f t="shared" ca="1" si="171"/>
        <v>#N/A</v>
      </c>
      <c r="AE351" s="324">
        <f t="shared" ca="1" si="150"/>
        <v>1391.9217603493701</v>
      </c>
      <c r="AG351" s="306">
        <f t="shared" ca="1" si="172"/>
        <v>2.9986955949690177</v>
      </c>
      <c r="AH351" s="304">
        <f t="shared" ca="1" si="173"/>
        <v>-0.26695786451437908</v>
      </c>
    </row>
    <row r="352" spans="1:34" x14ac:dyDescent="0.2">
      <c r="A352" s="347">
        <f t="shared" ca="1" si="151"/>
        <v>0.1</v>
      </c>
      <c r="B352" s="304">
        <f t="shared" ca="1" si="152"/>
        <v>16.799999999999972</v>
      </c>
      <c r="D352" s="306">
        <f t="shared" ca="1" si="153"/>
        <v>-0.25475975803085132</v>
      </c>
      <c r="E352" s="307">
        <f t="shared" ca="1" si="154"/>
        <v>-9.7091470061195331</v>
      </c>
      <c r="F352" s="304">
        <f t="shared" ca="1" si="155"/>
        <v>9.7124887706885836</v>
      </c>
      <c r="G352" s="306">
        <f t="shared" ca="1" si="156"/>
        <v>22.868301594814405</v>
      </c>
      <c r="H352" s="307">
        <f t="shared" ca="1" si="157"/>
        <v>-10.033986620120825</v>
      </c>
      <c r="I352" s="304">
        <f t="shared" ca="1" si="158"/>
        <v>24.97278729585776</v>
      </c>
      <c r="J352" s="306">
        <f t="shared" ca="1" si="159"/>
        <v>466.81791343721733</v>
      </c>
      <c r="K352" s="307">
        <f t="shared" ca="1" si="160"/>
        <v>1390.9669074223887</v>
      </c>
      <c r="L352" s="304">
        <f t="shared" ca="1" si="145"/>
        <v>1467.2109261623159</v>
      </c>
      <c r="M352" s="306">
        <f t="shared" ca="1" si="161"/>
        <v>-0.41347818240822465</v>
      </c>
      <c r="N352" s="304">
        <f t="shared" ca="1" si="162"/>
        <v>-23.690554772731673</v>
      </c>
      <c r="P352" s="310">
        <f t="shared" ca="1" si="163"/>
        <v>23</v>
      </c>
      <c r="Q352" s="304">
        <f t="shared" ca="1" si="164"/>
        <v>0</v>
      </c>
      <c r="R352" s="306">
        <f t="shared" ca="1" si="165"/>
        <v>0</v>
      </c>
      <c r="S352" s="307">
        <f t="shared" ca="1" si="166"/>
        <v>7.4799999999999969</v>
      </c>
      <c r="T352" s="304">
        <f t="shared" ca="1" si="146"/>
        <v>73.37879999999997</v>
      </c>
      <c r="U352" s="311">
        <f t="shared" ca="1" si="147"/>
        <v>0</v>
      </c>
      <c r="V352" s="306">
        <f t="shared" ca="1" si="148"/>
        <v>1.0656865412894279</v>
      </c>
      <c r="W352" s="304">
        <f t="shared" ca="1" si="149"/>
        <v>2.1084323297034402</v>
      </c>
      <c r="Y352" s="314" t="str">
        <f t="shared" ca="1" si="167"/>
        <v/>
      </c>
      <c r="Z352" s="315" t="str">
        <f t="shared" ca="1" si="168"/>
        <v/>
      </c>
      <c r="AA352" s="316" t="str">
        <f t="shared" ca="1" si="169"/>
        <v/>
      </c>
      <c r="AC352" s="310" t="e">
        <f t="shared" ca="1" si="170"/>
        <v>#N/A</v>
      </c>
      <c r="AD352" s="323" t="e">
        <f t="shared" ca="1" si="171"/>
        <v>#N/A</v>
      </c>
      <c r="AE352" s="324">
        <f t="shared" ca="1" si="150"/>
        <v>1390.9669074223887</v>
      </c>
      <c r="AG352" s="306">
        <f t="shared" ca="1" si="172"/>
        <v>3.3368869930724872</v>
      </c>
      <c r="AH352" s="304">
        <f t="shared" ca="1" si="173"/>
        <v>-0.2739960961156046</v>
      </c>
    </row>
    <row r="353" spans="1:34" x14ac:dyDescent="0.2">
      <c r="A353" s="347">
        <f t="shared" ca="1" si="151"/>
        <v>0.1</v>
      </c>
      <c r="B353" s="304">
        <f t="shared" ca="1" si="152"/>
        <v>16.899999999999974</v>
      </c>
      <c r="D353" s="306">
        <f t="shared" ca="1" si="153"/>
        <v>-0.25812196470009235</v>
      </c>
      <c r="E353" s="307">
        <f t="shared" ca="1" si="154"/>
        <v>-9.6967431265316471</v>
      </c>
      <c r="F353" s="304">
        <f t="shared" ca="1" si="155"/>
        <v>9.7001780504586286</v>
      </c>
      <c r="G353" s="306">
        <f t="shared" ca="1" si="156"/>
        <v>22.842489398344394</v>
      </c>
      <c r="H353" s="307">
        <f t="shared" ca="1" si="157"/>
        <v>-11.00366093277399</v>
      </c>
      <c r="I353" s="304">
        <f t="shared" ca="1" si="158"/>
        <v>25.354681536886488</v>
      </c>
      <c r="J353" s="306">
        <f t="shared" ca="1" si="159"/>
        <v>469.10345298687525</v>
      </c>
      <c r="K353" s="307">
        <f t="shared" ca="1" si="160"/>
        <v>1389.915025044744</v>
      </c>
      <c r="L353" s="304">
        <f t="shared" ca="1" si="145"/>
        <v>1466.9430208598221</v>
      </c>
      <c r="M353" s="306">
        <f t="shared" ca="1" si="161"/>
        <v>-0.44891613685883203</v>
      </c>
      <c r="N353" s="304">
        <f t="shared" ca="1" si="162"/>
        <v>-25.720999997328327</v>
      </c>
      <c r="P353" s="310">
        <f t="shared" ca="1" si="163"/>
        <v>23</v>
      </c>
      <c r="Q353" s="304">
        <f t="shared" ca="1" si="164"/>
        <v>0</v>
      </c>
      <c r="R353" s="306">
        <f t="shared" ca="1" si="165"/>
        <v>0</v>
      </c>
      <c r="S353" s="307">
        <f t="shared" ca="1" si="166"/>
        <v>7.4799999999999969</v>
      </c>
      <c r="T353" s="304">
        <f t="shared" ca="1" si="146"/>
        <v>73.37879999999997</v>
      </c>
      <c r="U353" s="311">
        <f t="shared" ca="1" si="147"/>
        <v>0</v>
      </c>
      <c r="V353" s="306">
        <f t="shared" ca="1" si="148"/>
        <v>1.0657991893669292</v>
      </c>
      <c r="W353" s="304">
        <f t="shared" ca="1" si="149"/>
        <v>2.1736411899572197</v>
      </c>
      <c r="Y353" s="314" t="str">
        <f t="shared" ca="1" si="167"/>
        <v/>
      </c>
      <c r="Z353" s="315" t="str">
        <f t="shared" ca="1" si="168"/>
        <v/>
      </c>
      <c r="AA353" s="316" t="str">
        <f t="shared" ca="1" si="169"/>
        <v/>
      </c>
      <c r="AC353" s="310" t="e">
        <f t="shared" ca="1" si="170"/>
        <v>#N/A</v>
      </c>
      <c r="AD353" s="323" t="e">
        <f t="shared" ca="1" si="171"/>
        <v>#N/A</v>
      </c>
      <c r="AE353" s="324">
        <f t="shared" ca="1" si="150"/>
        <v>1389.915025044744</v>
      </c>
      <c r="AG353" s="306">
        <f t="shared" ca="1" si="172"/>
        <v>3.6597508628329578</v>
      </c>
      <c r="AH353" s="304">
        <f t="shared" ca="1" si="173"/>
        <v>-0.28187597990687713</v>
      </c>
    </row>
    <row r="354" spans="1:34" x14ac:dyDescent="0.2">
      <c r="A354" s="347">
        <f t="shared" ca="1" si="151"/>
        <v>0.1</v>
      </c>
      <c r="B354" s="304">
        <f t="shared" ca="1" si="152"/>
        <v>16.999999999999975</v>
      </c>
      <c r="D354" s="306">
        <f t="shared" ca="1" si="153"/>
        <v>-0.26180113761571217</v>
      </c>
      <c r="E354" s="307">
        <f t="shared" ca="1" si="154"/>
        <v>-9.6838854202840707</v>
      </c>
      <c r="F354" s="304">
        <f t="shared" ca="1" si="155"/>
        <v>9.6874236342201581</v>
      </c>
      <c r="G354" s="306">
        <f t="shared" ca="1" si="156"/>
        <v>22.816309284582822</v>
      </c>
      <c r="H354" s="307">
        <f t="shared" ca="1" si="157"/>
        <v>-11.972049474802397</v>
      </c>
      <c r="I354" s="304">
        <f t="shared" ca="1" si="158"/>
        <v>25.766527472611763</v>
      </c>
      <c r="J354" s="306">
        <f t="shared" ca="1" si="159"/>
        <v>471.38639292102164</v>
      </c>
      <c r="K354" s="307">
        <f t="shared" ca="1" si="160"/>
        <v>1388.7662395243651</v>
      </c>
      <c r="L354" s="304">
        <f t="shared" ca="1" si="145"/>
        <v>1466.5867855240406</v>
      </c>
      <c r="M354" s="306">
        <f t="shared" ca="1" si="161"/>
        <v>-0.48322320316422546</v>
      </c>
      <c r="N354" s="304">
        <f t="shared" ca="1" si="162"/>
        <v>-27.686650104102846</v>
      </c>
      <c r="P354" s="310">
        <f t="shared" ca="1" si="163"/>
        <v>23</v>
      </c>
      <c r="Q354" s="304">
        <f t="shared" ca="1" si="164"/>
        <v>0</v>
      </c>
      <c r="R354" s="306">
        <f t="shared" ca="1" si="165"/>
        <v>0</v>
      </c>
      <c r="S354" s="307">
        <f t="shared" ca="1" si="166"/>
        <v>7.4799999999999969</v>
      </c>
      <c r="T354" s="304">
        <f t="shared" ca="1" si="146"/>
        <v>73.37879999999997</v>
      </c>
      <c r="U354" s="311">
        <f t="shared" ca="1" si="147"/>
        <v>0</v>
      </c>
      <c r="V354" s="306">
        <f t="shared" ca="1" si="148"/>
        <v>1.0659222276436289</v>
      </c>
      <c r="W354" s="304">
        <f t="shared" ca="1" si="149"/>
        <v>2.245088443744029</v>
      </c>
      <c r="Y354" s="314" t="str">
        <f t="shared" ca="1" si="167"/>
        <v/>
      </c>
      <c r="Z354" s="315" t="str">
        <f t="shared" ca="1" si="168"/>
        <v>Para</v>
      </c>
      <c r="AA354" s="316" t="str">
        <f t="shared" ca="1" si="169"/>
        <v/>
      </c>
      <c r="AC354" s="310">
        <f t="shared" ca="1" si="170"/>
        <v>16.999999999999975</v>
      </c>
      <c r="AD354" s="323">
        <f t="shared" ca="1" si="171"/>
        <v>471.38639292102164</v>
      </c>
      <c r="AE354" s="324" t="e">
        <f t="shared" ca="1" si="150"/>
        <v>#N/A</v>
      </c>
      <c r="AG354" s="306">
        <f t="shared" ca="1" si="172"/>
        <v>3.9668414615997127</v>
      </c>
      <c r="AH354" s="304">
        <f t="shared" ca="1" si="173"/>
        <v>-0.29059374197289045</v>
      </c>
    </row>
    <row r="355" spans="1:34" x14ac:dyDescent="0.2">
      <c r="A355" s="347">
        <f t="shared" ca="1" si="151"/>
        <v>0.1</v>
      </c>
      <c r="B355" s="304">
        <f t="shared" ca="1" si="152"/>
        <v>17.099999999999977</v>
      </c>
      <c r="D355" s="306">
        <f t="shared" ca="1" si="153"/>
        <v>-0.26577942573388297</v>
      </c>
      <c r="E355" s="307">
        <f t="shared" ca="1" si="154"/>
        <v>-9.6705416680417873</v>
      </c>
      <c r="F355" s="304">
        <f t="shared" ca="1" si="155"/>
        <v>9.6741932406002658</v>
      </c>
      <c r="G355" s="306">
        <f t="shared" ca="1" si="156"/>
        <v>22.789731342009432</v>
      </c>
      <c r="H355" s="307">
        <f t="shared" ca="1" si="157"/>
        <v>-12.939103641606575</v>
      </c>
      <c r="I355" s="304">
        <f t="shared" ca="1" si="158"/>
        <v>26.206721612769567</v>
      </c>
      <c r="J355" s="306">
        <f t="shared" ca="1" si="159"/>
        <v>473.66669495235124</v>
      </c>
      <c r="K355" s="307">
        <f t="shared" ca="1" si="160"/>
        <v>1387.5206818685447</v>
      </c>
      <c r="L355" s="304">
        <f t="shared" ca="1" si="145"/>
        <v>1466.1424830213587</v>
      </c>
      <c r="M355" s="306">
        <f t="shared" ca="1" si="161"/>
        <v>-0.51637639717636863</v>
      </c>
      <c r="N355" s="304">
        <f t="shared" ca="1" si="162"/>
        <v>-29.586188198377041</v>
      </c>
      <c r="P355" s="310">
        <f t="shared" ca="1" si="163"/>
        <v>23</v>
      </c>
      <c r="Q355" s="304">
        <f t="shared" ca="1" si="164"/>
        <v>0</v>
      </c>
      <c r="R355" s="306">
        <f t="shared" ca="1" si="165"/>
        <v>0</v>
      </c>
      <c r="S355" s="307">
        <f t="shared" ca="1" si="166"/>
        <v>7.4799999999999969</v>
      </c>
      <c r="T355" s="304">
        <f t="shared" ca="1" si="146"/>
        <v>73.37879999999997</v>
      </c>
      <c r="U355" s="311">
        <f t="shared" ca="1" si="147"/>
        <v>0</v>
      </c>
      <c r="V355" s="306">
        <f t="shared" ca="1" si="148"/>
        <v>1.0660556454325338</v>
      </c>
      <c r="W355" s="304">
        <f t="shared" ca="1" si="149"/>
        <v>2.3227443621555581</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4.257931063296307</v>
      </c>
      <c r="AH355" s="304">
        <f t="shared" ca="1" si="173"/>
        <v>-0.30014551386952271</v>
      </c>
    </row>
    <row r="356" spans="1:34" x14ac:dyDescent="0.2">
      <c r="A356" s="347">
        <f t="shared" ca="1" si="151"/>
        <v>0.1</v>
      </c>
      <c r="B356" s="304">
        <f t="shared" ca="1" si="152"/>
        <v>17.199999999999978</v>
      </c>
      <c r="D356" s="306">
        <f t="shared" ca="1" si="153"/>
        <v>-0.27003889795099778</v>
      </c>
      <c r="E356" s="307">
        <f t="shared" ca="1" si="154"/>
        <v>-9.6566826468720848</v>
      </c>
      <c r="F356" s="304">
        <f t="shared" ca="1" si="155"/>
        <v>9.6604575848562693</v>
      </c>
      <c r="G356" s="306">
        <f t="shared" ca="1" si="156"/>
        <v>22.762727452214332</v>
      </c>
      <c r="H356" s="307">
        <f t="shared" ca="1" si="157"/>
        <v>-13.904771906293783</v>
      </c>
      <c r="I356" s="304">
        <f t="shared" ca="1" si="158"/>
        <v>26.673665717892035</v>
      </c>
      <c r="J356" s="306">
        <f t="shared" ca="1" si="159"/>
        <v>475.94431789206243</v>
      </c>
      <c r="K356" s="307">
        <f t="shared" ca="1" si="160"/>
        <v>1386.1784880911496</v>
      </c>
      <c r="L356" s="304">
        <f t="shared" ca="1" si="145"/>
        <v>1465.6103829396154</v>
      </c>
      <c r="M356" s="306">
        <f t="shared" ca="1" si="161"/>
        <v>-0.54836438189425485</v>
      </c>
      <c r="N356" s="304">
        <f t="shared" ca="1" si="162"/>
        <v>-31.418964717840897</v>
      </c>
      <c r="P356" s="310">
        <f t="shared" ca="1" si="163"/>
        <v>23</v>
      </c>
      <c r="Q356" s="304">
        <f t="shared" ca="1" si="164"/>
        <v>0</v>
      </c>
      <c r="R356" s="306">
        <f t="shared" ca="1" si="165"/>
        <v>0</v>
      </c>
      <c r="S356" s="307">
        <f t="shared" ca="1" si="166"/>
        <v>7.4799999999999969</v>
      </c>
      <c r="T356" s="304">
        <f t="shared" ca="1" si="146"/>
        <v>73.37879999999997</v>
      </c>
      <c r="U356" s="311">
        <f t="shared" ca="1" si="147"/>
        <v>0</v>
      </c>
      <c r="V356" s="306">
        <f t="shared" ca="1" si="148"/>
        <v>1.0661994317865415</v>
      </c>
      <c r="W356" s="304">
        <f t="shared" ca="1" si="149"/>
        <v>2.4065783459894408</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4.5329860568252762</v>
      </c>
      <c r="AH356" s="304">
        <f t="shared" ca="1" si="173"/>
        <v>-0.31052732114379133</v>
      </c>
    </row>
    <row r="357" spans="1:34" x14ac:dyDescent="0.2">
      <c r="A357" s="347">
        <f t="shared" ca="1" si="151"/>
        <v>0.1</v>
      </c>
      <c r="B357" s="304">
        <f t="shared" ca="1" si="152"/>
        <v>17.299999999999979</v>
      </c>
      <c r="D357" s="306">
        <f t="shared" ca="1" si="153"/>
        <v>-0.27456172900341019</v>
      </c>
      <c r="E357" s="307">
        <f t="shared" ca="1" si="154"/>
        <v>-9.6422820398388307</v>
      </c>
      <c r="F357" s="304">
        <f t="shared" ca="1" si="155"/>
        <v>9.6461902883382837</v>
      </c>
      <c r="G357" s="306">
        <f t="shared" ca="1" si="156"/>
        <v>22.735271279313991</v>
      </c>
      <c r="H357" s="307">
        <f t="shared" ca="1" si="157"/>
        <v>-14.869000110277666</v>
      </c>
      <c r="I357" s="304">
        <f t="shared" ca="1" si="158"/>
        <v>27.165782234705425</v>
      </c>
      <c r="J357" s="306">
        <f t="shared" ca="1" si="159"/>
        <v>478.21921782863882</v>
      </c>
      <c r="K357" s="307">
        <f t="shared" ca="1" si="160"/>
        <v>1384.739799490321</v>
      </c>
      <c r="L357" s="304">
        <f t="shared" ca="1" si="145"/>
        <v>1464.9907619480505</v>
      </c>
      <c r="M357" s="306">
        <f t="shared" ca="1" si="161"/>
        <v>-0.57918612175645523</v>
      </c>
      <c r="N357" s="304">
        <f t="shared" ca="1" si="162"/>
        <v>-33.184920329195108</v>
      </c>
      <c r="P357" s="310">
        <f t="shared" ca="1" si="163"/>
        <v>23</v>
      </c>
      <c r="Q357" s="304">
        <f t="shared" ca="1" si="164"/>
        <v>0</v>
      </c>
      <c r="R357" s="306">
        <f t="shared" ca="1" si="165"/>
        <v>0</v>
      </c>
      <c r="S357" s="307">
        <f t="shared" ca="1" si="166"/>
        <v>7.4799999999999969</v>
      </c>
      <c r="T357" s="304">
        <f t="shared" ca="1" si="146"/>
        <v>73.37879999999997</v>
      </c>
      <c r="U357" s="311">
        <f t="shared" ca="1" si="147"/>
        <v>0</v>
      </c>
      <c r="V357" s="306">
        <f t="shared" ca="1" si="148"/>
        <v>1.066353575467299</v>
      </c>
      <c r="W357" s="304">
        <f t="shared" ca="1" si="149"/>
        <v>2.4965588566930381</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4.7921406815958392</v>
      </c>
      <c r="AH357" s="304">
        <f t="shared" ca="1" si="173"/>
        <v>-0.32173507299324089</v>
      </c>
    </row>
    <row r="358" spans="1:34" x14ac:dyDescent="0.2">
      <c r="A358" s="347">
        <f t="shared" ca="1" si="151"/>
        <v>0.1</v>
      </c>
      <c r="B358" s="304">
        <f t="shared" ca="1" si="152"/>
        <v>17.399999999999981</v>
      </c>
      <c r="D358" s="306">
        <f t="shared" ca="1" si="153"/>
        <v>-0.27933035725173416</v>
      </c>
      <c r="E358" s="307">
        <f t="shared" ca="1" si="154"/>
        <v>-9.6273163160556212</v>
      </c>
      <c r="F358" s="304">
        <f t="shared" ca="1" si="155"/>
        <v>9.6313677584169302</v>
      </c>
      <c r="G358" s="306">
        <f t="shared" ca="1" si="156"/>
        <v>22.707338243588818</v>
      </c>
      <c r="H358" s="307">
        <f t="shared" ca="1" si="157"/>
        <v>-15.831731741883228</v>
      </c>
      <c r="I358" s="304">
        <f t="shared" ca="1" si="158"/>
        <v>27.681527054259565</v>
      </c>
      <c r="J358" s="306">
        <f t="shared" ca="1" si="159"/>
        <v>480.49134830478397</v>
      </c>
      <c r="K358" s="307">
        <f t="shared" ca="1" si="160"/>
        <v>1383.204762897713</v>
      </c>
      <c r="L358" s="304">
        <f t="shared" ca="1" si="145"/>
        <v>1464.2839041315272</v>
      </c>
      <c r="M358" s="306">
        <f t="shared" ca="1" si="161"/>
        <v>-0.60884949804558264</v>
      </c>
      <c r="N358" s="304">
        <f t="shared" ca="1" si="162"/>
        <v>-34.884506596670548</v>
      </c>
      <c r="P358" s="310">
        <f t="shared" ca="1" si="163"/>
        <v>23</v>
      </c>
      <c r="Q358" s="304">
        <f t="shared" ca="1" si="164"/>
        <v>0</v>
      </c>
      <c r="R358" s="306">
        <f t="shared" ca="1" si="165"/>
        <v>0</v>
      </c>
      <c r="S358" s="307">
        <f t="shared" ca="1" si="166"/>
        <v>7.4799999999999969</v>
      </c>
      <c r="T358" s="304">
        <f t="shared" ca="1" si="146"/>
        <v>73.37879999999997</v>
      </c>
      <c r="U358" s="311">
        <f t="shared" ca="1" si="147"/>
        <v>0</v>
      </c>
      <c r="V358" s="306">
        <f t="shared" ca="1" si="148"/>
        <v>1.0665180649170307</v>
      </c>
      <c r="W358" s="304">
        <f t="shared" ca="1" si="149"/>
        <v>2.5926533552826565</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5.0356700475084439</v>
      </c>
      <c r="AH358" s="304">
        <f t="shared" ca="1" si="173"/>
        <v>-0.33376455303382879</v>
      </c>
    </row>
    <row r="359" spans="1:34" x14ac:dyDescent="0.2">
      <c r="A359" s="347">
        <f t="shared" ca="1" si="151"/>
        <v>0.1</v>
      </c>
      <c r="B359" s="304">
        <f t="shared" ca="1" si="152"/>
        <v>17.499999999999982</v>
      </c>
      <c r="D359" s="306">
        <f t="shared" ca="1" si="153"/>
        <v>-0.28432761445135951</v>
      </c>
      <c r="E359" s="307">
        <f t="shared" ca="1" si="154"/>
        <v>-9.6117645894681445</v>
      </c>
      <c r="F359" s="304">
        <f t="shared" ca="1" si="155"/>
        <v>9.6159690471472157</v>
      </c>
      <c r="G359" s="306">
        <f t="shared" ca="1" si="156"/>
        <v>22.678905482143684</v>
      </c>
      <c r="H359" s="307">
        <f t="shared" ca="1" si="157"/>
        <v>-16.792908200830041</v>
      </c>
      <c r="I359" s="304">
        <f t="shared" ca="1" si="158"/>
        <v>28.21939970498153</v>
      </c>
      <c r="J359" s="306">
        <f t="shared" ca="1" si="159"/>
        <v>482.76066049107061</v>
      </c>
      <c r="K359" s="307">
        <f t="shared" ca="1" si="160"/>
        <v>1381.5735309005772</v>
      </c>
      <c r="L359" s="304">
        <f t="shared" ca="1" si="145"/>
        <v>1463.4901012999244</v>
      </c>
      <c r="M359" s="306">
        <f t="shared" ca="1" si="161"/>
        <v>-0.63736994319727935</v>
      </c>
      <c r="N359" s="304">
        <f t="shared" ca="1" si="162"/>
        <v>-36.518607733697124</v>
      </c>
      <c r="P359" s="310">
        <f t="shared" ca="1" si="163"/>
        <v>23</v>
      </c>
      <c r="Q359" s="304">
        <f t="shared" ca="1" si="164"/>
        <v>0</v>
      </c>
      <c r="R359" s="306">
        <f t="shared" ca="1" si="165"/>
        <v>0</v>
      </c>
      <c r="S359" s="307">
        <f t="shared" ca="1" si="166"/>
        <v>7.4799999999999969</v>
      </c>
      <c r="T359" s="304">
        <f t="shared" ca="1" si="146"/>
        <v>73.37879999999997</v>
      </c>
      <c r="U359" s="311">
        <f t="shared" ca="1" si="147"/>
        <v>0</v>
      </c>
      <c r="V359" s="306">
        <f t="shared" ca="1" si="148"/>
        <v>1.0666928882331963</v>
      </c>
      <c r="W359" s="304">
        <f t="shared" ca="1" si="149"/>
        <v>2.6948282488595368</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5.2639637599339055</v>
      </c>
      <c r="AH359" s="304">
        <f t="shared" ca="1" si="173"/>
        <v>-0.34661141113404514</v>
      </c>
    </row>
    <row r="360" spans="1:34" x14ac:dyDescent="0.2">
      <c r="A360" s="347">
        <f t="shared" ca="1" si="151"/>
        <v>0.1</v>
      </c>
      <c r="B360" s="304">
        <f t="shared" ca="1" si="152"/>
        <v>17.599999999999984</v>
      </c>
      <c r="D360" s="306">
        <f t="shared" ca="1" si="153"/>
        <v>-0.28953682878754311</v>
      </c>
      <c r="E360" s="307">
        <f t="shared" ca="1" si="154"/>
        <v>-9.5956084637586727</v>
      </c>
      <c r="F360" s="304">
        <f t="shared" ca="1" si="155"/>
        <v>9.5999756960620175</v>
      </c>
      <c r="G360" s="306">
        <f t="shared" ca="1" si="156"/>
        <v>22.64995179926493</v>
      </c>
      <c r="H360" s="307">
        <f t="shared" ca="1" si="157"/>
        <v>-17.75246904720591</v>
      </c>
      <c r="I360" s="304">
        <f t="shared" ca="1" si="158"/>
        <v>28.777951174137268</v>
      </c>
      <c r="J360" s="306">
        <f t="shared" ca="1" si="159"/>
        <v>485.02710335514104</v>
      </c>
      <c r="K360" s="307">
        <f t="shared" ca="1" si="160"/>
        <v>1379.8462620381754</v>
      </c>
      <c r="L360" s="304">
        <f t="shared" ca="1" si="145"/>
        <v>1462.6096532738336</v>
      </c>
      <c r="M360" s="306">
        <f t="shared" ca="1" si="161"/>
        <v>-0.66476913773718704</v>
      </c>
      <c r="N360" s="304">
        <f t="shared" ca="1" si="162"/>
        <v>-38.088465942891723</v>
      </c>
      <c r="P360" s="310">
        <f t="shared" ca="1" si="163"/>
        <v>23</v>
      </c>
      <c r="Q360" s="304">
        <f t="shared" ca="1" si="164"/>
        <v>0</v>
      </c>
      <c r="R360" s="306">
        <f t="shared" ca="1" si="165"/>
        <v>0</v>
      </c>
      <c r="S360" s="307">
        <f t="shared" ca="1" si="166"/>
        <v>7.4799999999999969</v>
      </c>
      <c r="T360" s="304">
        <f t="shared" ca="1" si="146"/>
        <v>73.37879999999997</v>
      </c>
      <c r="U360" s="311">
        <f t="shared" ca="1" si="147"/>
        <v>0</v>
      </c>
      <c r="V360" s="306">
        <f t="shared" ca="1" si="148"/>
        <v>1.066878033145817</v>
      </c>
      <c r="W360" s="304">
        <f t="shared" ca="1" si="149"/>
        <v>2.8030488443017312</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5.4775011270721157</v>
      </c>
      <c r="AH360" s="304">
        <f t="shared" ca="1" si="173"/>
        <v>-0.36027115626464412</v>
      </c>
    </row>
    <row r="361" spans="1:34" x14ac:dyDescent="0.2">
      <c r="A361" s="347">
        <f t="shared" ca="1" si="151"/>
        <v>0.1</v>
      </c>
      <c r="B361" s="304">
        <f t="shared" ca="1" si="152"/>
        <v>17.699999999999985</v>
      </c>
      <c r="D361" s="306">
        <f t="shared" ca="1" si="153"/>
        <v>-0.29494190327890041</v>
      </c>
      <c r="E361" s="307">
        <f t="shared" ca="1" si="154"/>
        <v>-9.5788318697061161</v>
      </c>
      <c r="F361" s="304">
        <f t="shared" ca="1" si="155"/>
        <v>9.5833715734290159</v>
      </c>
      <c r="G361" s="306">
        <f t="shared" ca="1" si="156"/>
        <v>22.620457608937038</v>
      </c>
      <c r="H361" s="307">
        <f t="shared" ca="1" si="157"/>
        <v>-18.710352234176522</v>
      </c>
      <c r="I361" s="304">
        <f t="shared" ca="1" si="158"/>
        <v>29.355789602132525</v>
      </c>
      <c r="J361" s="306">
        <f t="shared" ca="1" si="159"/>
        <v>487.29062382555111</v>
      </c>
      <c r="K361" s="307">
        <f t="shared" ca="1" si="160"/>
        <v>1378.0231209741062</v>
      </c>
      <c r="L361" s="304">
        <f t="shared" ca="1" si="145"/>
        <v>1461.6428681478628</v>
      </c>
      <c r="M361" s="306">
        <f t="shared" ca="1" si="161"/>
        <v>-0.69107380040944577</v>
      </c>
      <c r="N361" s="304">
        <f t="shared" ca="1" si="162"/>
        <v>-39.595612095527464</v>
      </c>
      <c r="P361" s="310">
        <f t="shared" ca="1" si="163"/>
        <v>23</v>
      </c>
      <c r="Q361" s="304">
        <f t="shared" ca="1" si="164"/>
        <v>0</v>
      </c>
      <c r="R361" s="306">
        <f t="shared" ca="1" si="165"/>
        <v>0</v>
      </c>
      <c r="S361" s="307">
        <f t="shared" ca="1" si="166"/>
        <v>7.4799999999999969</v>
      </c>
      <c r="T361" s="304">
        <f t="shared" ca="1" si="146"/>
        <v>73.37879999999997</v>
      </c>
      <c r="U361" s="311">
        <f t="shared" ca="1" si="147"/>
        <v>0</v>
      </c>
      <c r="V361" s="306">
        <f t="shared" ca="1" si="148"/>
        <v>1.0670734869972989</v>
      </c>
      <c r="W361" s="304">
        <f t="shared" ca="1" si="149"/>
        <v>2.9172793086863513</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5.6768286037442124</v>
      </c>
      <c r="AH361" s="304">
        <f t="shared" ca="1" si="173"/>
        <v>-0.37473915030771821</v>
      </c>
    </row>
    <row r="362" spans="1:34" x14ac:dyDescent="0.2">
      <c r="A362" s="347">
        <f t="shared" ca="1" si="151"/>
        <v>0.1</v>
      </c>
      <c r="B362" s="304">
        <f t="shared" ca="1" si="152"/>
        <v>17.799999999999986</v>
      </c>
      <c r="D362" s="306">
        <f t="shared" ca="1" si="153"/>
        <v>-0.30052737216284386</v>
      </c>
      <c r="E362" s="307">
        <f t="shared" ca="1" si="154"/>
        <v>-9.5614209002139425</v>
      </c>
      <c r="F362" s="304">
        <f t="shared" ca="1" si="155"/>
        <v>9.5661427091836284</v>
      </c>
      <c r="G362" s="306">
        <f t="shared" ca="1" si="156"/>
        <v>22.590404871720754</v>
      </c>
      <c r="H362" s="307">
        <f t="shared" ca="1" si="157"/>
        <v>-19.666494324197917</v>
      </c>
      <c r="I362" s="304">
        <f t="shared" ca="1" si="158"/>
        <v>29.951584119574939</v>
      </c>
      <c r="J362" s="306">
        <f t="shared" ca="1" si="159"/>
        <v>489.551166949584</v>
      </c>
      <c r="K362" s="307">
        <f t="shared" ca="1" si="160"/>
        <v>1376.1042786461874</v>
      </c>
      <c r="L362" s="304">
        <f t="shared" ca="1" si="145"/>
        <v>1460.5900625329625</v>
      </c>
      <c r="M362" s="306">
        <f t="shared" ca="1" si="161"/>
        <v>-0.71631459055957347</v>
      </c>
      <c r="N362" s="304">
        <f t="shared" ca="1" si="162"/>
        <v>-41.04180284270516</v>
      </c>
      <c r="P362" s="310">
        <f t="shared" ca="1" si="163"/>
        <v>23</v>
      </c>
      <c r="Q362" s="304">
        <f t="shared" ca="1" si="164"/>
        <v>0</v>
      </c>
      <c r="R362" s="306">
        <f t="shared" ca="1" si="165"/>
        <v>0</v>
      </c>
      <c r="S362" s="307">
        <f t="shared" ca="1" si="166"/>
        <v>7.4799999999999969</v>
      </c>
      <c r="T362" s="304">
        <f t="shared" ca="1" si="146"/>
        <v>73.37879999999997</v>
      </c>
      <c r="U362" s="311">
        <f t="shared" ca="1" si="147"/>
        <v>0</v>
      </c>
      <c r="V362" s="306">
        <f t="shared" ca="1" si="148"/>
        <v>1.0672792367245747</v>
      </c>
      <c r="W362" s="304">
        <f t="shared" ca="1" si="149"/>
        <v>3.0374826359867333</v>
      </c>
      <c r="Y362" s="314" t="str">
        <f t="shared" ca="1" si="167"/>
        <v/>
      </c>
      <c r="Z362" s="315" t="str">
        <f t="shared" ca="1" si="168"/>
        <v/>
      </c>
      <c r="AA362" s="316" t="str">
        <f t="shared" ca="1" si="169"/>
        <v/>
      </c>
      <c r="AC362" s="310" t="e">
        <f t="shared" ca="1" si="170"/>
        <v>#N/A</v>
      </c>
      <c r="AD362" s="323" t="e">
        <f t="shared" ca="1" si="171"/>
        <v>#N/A</v>
      </c>
      <c r="AE362" s="324" t="e">
        <f t="shared" ca="1" si="150"/>
        <v>#N/A</v>
      </c>
      <c r="AG362" s="306">
        <f t="shared" ca="1" si="172"/>
        <v>5.8625398448619208</v>
      </c>
      <c r="AH362" s="304">
        <f t="shared" ca="1" si="173"/>
        <v>-0.39001060276555516</v>
      </c>
    </row>
    <row r="363" spans="1:34" x14ac:dyDescent="0.2">
      <c r="A363" s="347">
        <f t="shared" ca="1" si="151"/>
        <v>0.1</v>
      </c>
      <c r="B363" s="304">
        <f t="shared" ca="1" si="152"/>
        <v>17.899999999999988</v>
      </c>
      <c r="D363" s="306">
        <f t="shared" ca="1" si="153"/>
        <v>-0.306278438122701</v>
      </c>
      <c r="E363" s="307">
        <f t="shared" ca="1" si="154"/>
        <v>-9.5433636471250427</v>
      </c>
      <c r="F363" s="304">
        <f t="shared" ca="1" si="155"/>
        <v>9.5482771316571391</v>
      </c>
      <c r="G363" s="306">
        <f t="shared" ca="1" si="156"/>
        <v>22.559777027908485</v>
      </c>
      <c r="H363" s="307">
        <f t="shared" ca="1" si="157"/>
        <v>-20.62083068891042</v>
      </c>
      <c r="I363" s="304">
        <f t="shared" ca="1" si="158"/>
        <v>30.564067102557818</v>
      </c>
      <c r="J363" s="306">
        <f t="shared" ca="1" si="159"/>
        <v>491.80867604456546</v>
      </c>
      <c r="K363" s="307">
        <f t="shared" ca="1" si="160"/>
        <v>1374.0899123955319</v>
      </c>
      <c r="L363" s="304">
        <f t="shared" ca="1" si="145"/>
        <v>1459.451561779242</v>
      </c>
      <c r="M363" s="306">
        <f t="shared" ca="1" si="161"/>
        <v>-0.74052513235183459</v>
      </c>
      <c r="N363" s="304">
        <f t="shared" ca="1" si="162"/>
        <v>-42.428964707126823</v>
      </c>
      <c r="P363" s="310">
        <f t="shared" ca="1" si="163"/>
        <v>23</v>
      </c>
      <c r="Q363" s="304">
        <f t="shared" ca="1" si="164"/>
        <v>0</v>
      </c>
      <c r="R363" s="306">
        <f t="shared" ca="1" si="165"/>
        <v>0</v>
      </c>
      <c r="S363" s="307">
        <f t="shared" ca="1" si="166"/>
        <v>7.4799999999999969</v>
      </c>
      <c r="T363" s="304">
        <f t="shared" ca="1" si="146"/>
        <v>73.37879999999997</v>
      </c>
      <c r="U363" s="311">
        <f t="shared" ca="1" si="147"/>
        <v>0</v>
      </c>
      <c r="V363" s="306">
        <f t="shared" ca="1" si="148"/>
        <v>1.0674952688433907</v>
      </c>
      <c r="W363" s="304">
        <f t="shared" ca="1" si="149"/>
        <v>3.1636206195909446</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6.0352585144613924</v>
      </c>
      <c r="AH363" s="304">
        <f t="shared" ca="1" si="173"/>
        <v>-0.40608056630838696</v>
      </c>
    </row>
    <row r="364" spans="1:34" x14ac:dyDescent="0.2">
      <c r="A364" s="347">
        <f t="shared" ca="1" si="151"/>
        <v>0.1</v>
      </c>
      <c r="B364" s="304">
        <f t="shared" ca="1" si="152"/>
        <v>17.999999999999989</v>
      </c>
      <c r="D364" s="306">
        <f t="shared" ca="1" si="153"/>
        <v>-0.31218099325704679</v>
      </c>
      <c r="E364" s="307">
        <f t="shared" ca="1" si="154"/>
        <v>-9.5246500429376688</v>
      </c>
      <c r="F364" s="304">
        <f t="shared" ca="1" si="155"/>
        <v>9.5297647092141524</v>
      </c>
      <c r="G364" s="306">
        <f t="shared" ca="1" si="156"/>
        <v>22.528558928582779</v>
      </c>
      <c r="H364" s="307">
        <f t="shared" ca="1" si="157"/>
        <v>-21.573295693204187</v>
      </c>
      <c r="I364" s="304">
        <f t="shared" ca="1" si="158"/>
        <v>31.192035112590027</v>
      </c>
      <c r="J364" s="306">
        <f t="shared" ca="1" si="159"/>
        <v>494.06309284239001</v>
      </c>
      <c r="K364" s="307">
        <f t="shared" ca="1" si="160"/>
        <v>1371.9802060764262</v>
      </c>
      <c r="L364" s="304">
        <f t="shared" ca="1" si="145"/>
        <v>1458.2277001807711</v>
      </c>
      <c r="M364" s="306">
        <f t="shared" ca="1" si="161"/>
        <v>-0.76374116300050288</v>
      </c>
      <c r="N364" s="304">
        <f t="shared" ca="1" si="162"/>
        <v>-43.759145280341876</v>
      </c>
      <c r="P364" s="310">
        <f t="shared" ca="1" si="163"/>
        <v>23</v>
      </c>
      <c r="Q364" s="304">
        <f t="shared" ca="1" si="164"/>
        <v>0</v>
      </c>
      <c r="R364" s="306">
        <f t="shared" ca="1" si="165"/>
        <v>0</v>
      </c>
      <c r="S364" s="307">
        <f t="shared" ca="1" si="166"/>
        <v>7.4799999999999969</v>
      </c>
      <c r="T364" s="304">
        <f t="shared" ca="1" si="146"/>
        <v>73.37879999999997</v>
      </c>
      <c r="U364" s="311">
        <f t="shared" ca="1" si="147"/>
        <v>0</v>
      </c>
      <c r="V364" s="306">
        <f t="shared" ca="1" si="148"/>
        <v>1.067721569434565</v>
      </c>
      <c r="W364" s="304">
        <f t="shared" ca="1" si="149"/>
        <v>3.2956538301989506</v>
      </c>
      <c r="Y364" s="314" t="str">
        <f t="shared" ca="1" si="167"/>
        <v/>
      </c>
      <c r="Z364" s="315" t="str">
        <f t="shared" ca="1" si="168"/>
        <v/>
      </c>
      <c r="AA364" s="316" t="str">
        <f t="shared" ca="1" si="169"/>
        <v/>
      </c>
      <c r="AC364" s="310">
        <f t="shared" ca="1" si="170"/>
        <v>17.999999999999989</v>
      </c>
      <c r="AD364" s="323">
        <f t="shared" ca="1" si="171"/>
        <v>494.06309284239001</v>
      </c>
      <c r="AE364" s="324" t="e">
        <f t="shared" ca="1" si="150"/>
        <v>#N/A</v>
      </c>
      <c r="AG364" s="306">
        <f t="shared" ca="1" si="172"/>
        <v>6.1956238242411059</v>
      </c>
      <c r="AH364" s="304">
        <f t="shared" ca="1" si="173"/>
        <v>-0.42294393310039385</v>
      </c>
    </row>
    <row r="365" spans="1:34" x14ac:dyDescent="0.2">
      <c r="A365" s="347">
        <f t="shared" ca="1" si="151"/>
        <v>0.1</v>
      </c>
      <c r="B365" s="304">
        <f t="shared" ca="1" si="152"/>
        <v>18.099999999999991</v>
      </c>
      <c r="D365" s="306">
        <f t="shared" ca="1" si="153"/>
        <v>-0.31822162658354658</v>
      </c>
      <c r="E365" s="307">
        <f t="shared" ca="1" si="154"/>
        <v>-9.5052717096543056</v>
      </c>
      <c r="F365" s="304">
        <f t="shared" ca="1" si="155"/>
        <v>9.5105969990311312</v>
      </c>
      <c r="G365" s="306">
        <f t="shared" ca="1" si="156"/>
        <v>22.496736765924425</v>
      </c>
      <c r="H365" s="307">
        <f t="shared" ca="1" si="157"/>
        <v>-22.523822864169617</v>
      </c>
      <c r="I365" s="304">
        <f t="shared" ca="1" si="158"/>
        <v>31.834348768771534</v>
      </c>
      <c r="J365" s="306">
        <f t="shared" ca="1" si="159"/>
        <v>496.31435762711538</v>
      </c>
      <c r="K365" s="307">
        <f t="shared" ca="1" si="160"/>
        <v>1369.7753501485574</v>
      </c>
      <c r="L365" s="304">
        <f t="shared" ca="1" si="145"/>
        <v>1456.9188211638352</v>
      </c>
      <c r="M365" s="306">
        <f t="shared" ca="1" si="161"/>
        <v>-0.78599980174223194</v>
      </c>
      <c r="N365" s="304">
        <f t="shared" ca="1" si="162"/>
        <v>-45.034471337949341</v>
      </c>
      <c r="P365" s="310">
        <f t="shared" ca="1" si="163"/>
        <v>23</v>
      </c>
      <c r="Q365" s="304">
        <f t="shared" ca="1" si="164"/>
        <v>0</v>
      </c>
      <c r="R365" s="306">
        <f t="shared" ca="1" si="165"/>
        <v>0</v>
      </c>
      <c r="S365" s="307">
        <f t="shared" ca="1" si="166"/>
        <v>7.4799999999999969</v>
      </c>
      <c r="T365" s="304">
        <f t="shared" ca="1" si="146"/>
        <v>73.37879999999997</v>
      </c>
      <c r="U365" s="311">
        <f t="shared" ca="1" si="147"/>
        <v>0</v>
      </c>
      <c r="V365" s="306">
        <f t="shared" ca="1" si="148"/>
        <v>1.0679581241320519</v>
      </c>
      <c r="W365" s="304">
        <f t="shared" ca="1" si="149"/>
        <v>3.4335415986732696</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6.3442786549669306</v>
      </c>
      <c r="AH365" s="304">
        <f t="shared" ca="1" si="173"/>
        <v>-0.44059543184477967</v>
      </c>
    </row>
    <row r="366" spans="1:34" x14ac:dyDescent="0.2">
      <c r="A366" s="347">
        <f t="shared" ca="1" si="151"/>
        <v>0.1</v>
      </c>
      <c r="B366" s="304">
        <f t="shared" ca="1" si="152"/>
        <v>18.199999999999992</v>
      </c>
      <c r="D366" s="306">
        <f t="shared" ca="1" si="153"/>
        <v>-0.32438762066223903</v>
      </c>
      <c r="E366" s="307">
        <f t="shared" ca="1" si="154"/>
        <v>-9.485221816250581</v>
      </c>
      <c r="F366" s="304">
        <f t="shared" ca="1" si="155"/>
        <v>9.4907671045029272</v>
      </c>
      <c r="G366" s="306">
        <f t="shared" ca="1" si="156"/>
        <v>22.4642980038582</v>
      </c>
      <c r="H366" s="307">
        <f t="shared" ca="1" si="157"/>
        <v>-23.472345045794675</v>
      </c>
      <c r="I366" s="304">
        <f t="shared" ca="1" si="158"/>
        <v>32.489931775166738</v>
      </c>
      <c r="J366" s="306">
        <f t="shared" ca="1" si="159"/>
        <v>498.56240936560454</v>
      </c>
      <c r="K366" s="307">
        <f t="shared" ca="1" si="160"/>
        <v>1367.4755417530591</v>
      </c>
      <c r="L366" s="304">
        <f t="shared" ca="1" si="145"/>
        <v>1455.5252774600856</v>
      </c>
      <c r="M366" s="306">
        <f t="shared" ca="1" si="161"/>
        <v>-0.80733893252586097</v>
      </c>
      <c r="N366" s="304">
        <f t="shared" ca="1" si="162"/>
        <v>-46.257113470328974</v>
      </c>
      <c r="P366" s="310">
        <f t="shared" ca="1" si="163"/>
        <v>23</v>
      </c>
      <c r="Q366" s="304">
        <f t="shared" ca="1" si="164"/>
        <v>0</v>
      </c>
      <c r="R366" s="306">
        <f t="shared" ca="1" si="165"/>
        <v>0</v>
      </c>
      <c r="S366" s="307">
        <f t="shared" ca="1" si="166"/>
        <v>7.4799999999999969</v>
      </c>
      <c r="T366" s="304">
        <f t="shared" ca="1" si="146"/>
        <v>73.37879999999997</v>
      </c>
      <c r="U366" s="311">
        <f t="shared" ca="1" si="147"/>
        <v>0</v>
      </c>
      <c r="V366" s="306">
        <f t="shared" ca="1" si="148"/>
        <v>1.0682049181126561</v>
      </c>
      <c r="W366" s="304">
        <f t="shared" ca="1" si="149"/>
        <v>3.5772420034399834</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6.4818600375089463</v>
      </c>
      <c r="AH366" s="304">
        <f t="shared" ca="1" si="173"/>
        <v>-0.45902962549107901</v>
      </c>
    </row>
    <row r="367" spans="1:34" x14ac:dyDescent="0.2">
      <c r="A367" s="347">
        <f t="shared" ca="1" si="151"/>
        <v>0.1</v>
      </c>
      <c r="B367" s="304">
        <f t="shared" ca="1" si="152"/>
        <v>18.299999999999994</v>
      </c>
      <c r="D367" s="306">
        <f t="shared" ca="1" si="153"/>
        <v>-0.33066693965780836</v>
      </c>
      <c r="E367" s="307">
        <f t="shared" ca="1" si="154"/>
        <v>-9.4644949456443292</v>
      </c>
      <c r="F367" s="304">
        <f t="shared" ca="1" si="155"/>
        <v>9.4702695421571672</v>
      </c>
      <c r="G367" s="306">
        <f t="shared" ca="1" si="156"/>
        <v>22.431231309892418</v>
      </c>
      <c r="H367" s="307">
        <f t="shared" ca="1" si="157"/>
        <v>-24.418794540359109</v>
      </c>
      <c r="I367" s="304">
        <f t="shared" ca="1" si="158"/>
        <v>33.157769298946661</v>
      </c>
      <c r="J367" s="306">
        <f t="shared" ca="1" si="159"/>
        <v>500.80718583129209</v>
      </c>
      <c r="K367" s="307">
        <f t="shared" ca="1" si="160"/>
        <v>1365.0809847737514</v>
      </c>
      <c r="L367" s="304">
        <f t="shared" ca="1" si="145"/>
        <v>1454.0474312659587</v>
      </c>
      <c r="M367" s="306">
        <f t="shared" ca="1" si="161"/>
        <v>-0.82779669105011577</v>
      </c>
      <c r="N367" s="304">
        <f t="shared" ca="1" si="162"/>
        <v>-47.429256692066559</v>
      </c>
      <c r="P367" s="310">
        <f t="shared" ca="1" si="163"/>
        <v>23</v>
      </c>
      <c r="Q367" s="304">
        <f t="shared" ca="1" si="164"/>
        <v>0</v>
      </c>
      <c r="R367" s="306">
        <f t="shared" ca="1" si="165"/>
        <v>0</v>
      </c>
      <c r="S367" s="307">
        <f t="shared" ca="1" si="166"/>
        <v>7.4799999999999969</v>
      </c>
      <c r="T367" s="304">
        <f t="shared" ca="1" si="146"/>
        <v>73.37879999999997</v>
      </c>
      <c r="U367" s="311">
        <f t="shared" ca="1" si="147"/>
        <v>0</v>
      </c>
      <c r="V367" s="306">
        <f t="shared" ca="1" si="148"/>
        <v>1.0684619360872456</v>
      </c>
      <c r="W367" s="304">
        <f t="shared" ca="1" si="149"/>
        <v>3.7267118620617703</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6.6089917289382969</v>
      </c>
      <c r="AH367" s="304">
        <f t="shared" ca="1" si="173"/>
        <v>-0.47824090955080012</v>
      </c>
    </row>
    <row r="368" spans="1:34" x14ac:dyDescent="0.2">
      <c r="A368" s="347">
        <f t="shared" ca="1" si="151"/>
        <v>0.1</v>
      </c>
      <c r="B368" s="304">
        <f t="shared" ca="1" si="152"/>
        <v>18.399999999999995</v>
      </c>
      <c r="D368" s="306">
        <f t="shared" ca="1" si="153"/>
        <v>-0.33704821086888759</v>
      </c>
      <c r="E368" s="307">
        <f t="shared" ca="1" si="154"/>
        <v>-9.4430869715665882</v>
      </c>
      <c r="F368" s="304">
        <f t="shared" ca="1" si="155"/>
        <v>9.449100118477979</v>
      </c>
      <c r="G368" s="306">
        <f t="shared" ca="1" si="156"/>
        <v>22.397526488805529</v>
      </c>
      <c r="H368" s="307">
        <f t="shared" ca="1" si="157"/>
        <v>-25.363103237515766</v>
      </c>
      <c r="I368" s="304">
        <f t="shared" ca="1" si="158"/>
        <v>33.836905867020818</v>
      </c>
      <c r="J368" s="306">
        <f t="shared" ca="1" si="159"/>
        <v>503.04862372122699</v>
      </c>
      <c r="K368" s="307">
        <f t="shared" ca="1" si="160"/>
        <v>1362.5918898848577</v>
      </c>
      <c r="L368" s="304">
        <f t="shared" ca="1" si="145"/>
        <v>1452.4856543896772</v>
      </c>
      <c r="M368" s="306">
        <f t="shared" ca="1" si="161"/>
        <v>-0.84741104553841484</v>
      </c>
      <c r="N368" s="304">
        <f t="shared" ca="1" si="162"/>
        <v>-48.553076422119581</v>
      </c>
      <c r="P368" s="310">
        <f t="shared" ca="1" si="163"/>
        <v>23</v>
      </c>
      <c r="Q368" s="304">
        <f t="shared" ca="1" si="164"/>
        <v>0</v>
      </c>
      <c r="R368" s="306">
        <f t="shared" ca="1" si="165"/>
        <v>0</v>
      </c>
      <c r="S368" s="307">
        <f t="shared" ca="1" si="166"/>
        <v>7.4799999999999969</v>
      </c>
      <c r="T368" s="304">
        <f t="shared" ca="1" si="146"/>
        <v>73.37879999999997</v>
      </c>
      <c r="U368" s="311">
        <f t="shared" ca="1" si="147"/>
        <v>0</v>
      </c>
      <c r="V368" s="306">
        <f t="shared" ca="1" si="148"/>
        <v>1.0687291622933357</v>
      </c>
      <c r="W368" s="304">
        <f t="shared" ca="1" si="149"/>
        <v>3.8819067266308682</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6.7262786043911014</v>
      </c>
      <c r="AH368" s="304">
        <f t="shared" ca="1" si="173"/>
        <v>-0.49822351097082512</v>
      </c>
    </row>
    <row r="369" spans="1:34" x14ac:dyDescent="0.2">
      <c r="A369" s="347">
        <f t="shared" ca="1" si="151"/>
        <v>0.1</v>
      </c>
      <c r="B369" s="304">
        <f t="shared" ca="1" si="152"/>
        <v>18.499999999999996</v>
      </c>
      <c r="D369" s="306">
        <f t="shared" ca="1" si="153"/>
        <v>-0.34352070145801816</v>
      </c>
      <c r="E369" s="307">
        <f t="shared" ca="1" si="154"/>
        <v>-9.4209949453722821</v>
      </c>
      <c r="F369" s="304">
        <f t="shared" ca="1" si="155"/>
        <v>9.4272558166764675</v>
      </c>
      <c r="G369" s="306">
        <f t="shared" ca="1" si="156"/>
        <v>22.363174418659728</v>
      </c>
      <c r="H369" s="307">
        <f t="shared" ca="1" si="157"/>
        <v>-26.305202732052994</v>
      </c>
      <c r="I369" s="304">
        <f t="shared" ca="1" si="158"/>
        <v>34.526442922111237</v>
      </c>
      <c r="J369" s="306">
        <f t="shared" ca="1" si="159"/>
        <v>505.28665876660023</v>
      </c>
      <c r="K369" s="307">
        <f t="shared" ca="1" si="160"/>
        <v>1360.0084745863792</v>
      </c>
      <c r="L369" s="304">
        <f t="shared" ca="1" si="145"/>
        <v>1450.8403283870643</v>
      </c>
      <c r="M369" s="306">
        <f t="shared" ca="1" si="161"/>
        <v>-0.8662194602265868</v>
      </c>
      <c r="N369" s="304">
        <f t="shared" ca="1" si="162"/>
        <v>-49.6307192030837</v>
      </c>
      <c r="P369" s="310">
        <f t="shared" ca="1" si="163"/>
        <v>23</v>
      </c>
      <c r="Q369" s="304">
        <f t="shared" ca="1" si="164"/>
        <v>0</v>
      </c>
      <c r="R369" s="306">
        <f t="shared" ca="1" si="165"/>
        <v>0</v>
      </c>
      <c r="S369" s="307">
        <f t="shared" ca="1" si="166"/>
        <v>7.4799999999999969</v>
      </c>
      <c r="T369" s="304">
        <f t="shared" ca="1" si="146"/>
        <v>73.37879999999997</v>
      </c>
      <c r="U369" s="311">
        <f t="shared" ca="1" si="147"/>
        <v>0</v>
      </c>
      <c r="V369" s="306">
        <f t="shared" ca="1" si="148"/>
        <v>1.0690065804889084</v>
      </c>
      <c r="W369" s="304">
        <f t="shared" ca="1" si="149"/>
        <v>4.0427808826564773</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6.8343025895468195</v>
      </c>
      <c r="AH369" s="304">
        <f t="shared" ca="1" si="173"/>
        <v>-0.518971487517496</v>
      </c>
    </row>
    <row r="370" spans="1:34" x14ac:dyDescent="0.2">
      <c r="A370" s="347">
        <f t="shared" ca="1" si="151"/>
        <v>0.1</v>
      </c>
      <c r="B370" s="304">
        <f t="shared" ca="1" si="152"/>
        <v>18.599999999999998</v>
      </c>
      <c r="D370" s="306">
        <f t="shared" ca="1" si="153"/>
        <v>-0.35007429183435518</v>
      </c>
      <c r="E370" s="307">
        <f t="shared" ca="1" si="154"/>
        <v>-9.3982169925617161</v>
      </c>
      <c r="F370" s="304">
        <f t="shared" ca="1" si="155"/>
        <v>9.4047346931787033</v>
      </c>
      <c r="G370" s="306">
        <f t="shared" ca="1" si="156"/>
        <v>22.328166989476294</v>
      </c>
      <c r="H370" s="307">
        <f t="shared" ca="1" si="157"/>
        <v>-27.245024431309165</v>
      </c>
      <c r="I370" s="304">
        <f t="shared" ca="1" si="158"/>
        <v>35.225536154508312</v>
      </c>
      <c r="J370" s="306">
        <f t="shared" ca="1" si="159"/>
        <v>507.52122583700702</v>
      </c>
      <c r="K370" s="307">
        <f t="shared" ca="1" si="160"/>
        <v>1357.330963228211</v>
      </c>
      <c r="L370" s="304">
        <f t="shared" ca="1" si="145"/>
        <v>1449.1118446873318</v>
      </c>
      <c r="M370" s="306">
        <f t="shared" ca="1" si="161"/>
        <v>-0.88425863071514066</v>
      </c>
      <c r="N370" s="304">
        <f t="shared" ca="1" si="162"/>
        <v>-50.664287537994781</v>
      </c>
      <c r="P370" s="310">
        <f t="shared" ca="1" si="163"/>
        <v>23</v>
      </c>
      <c r="Q370" s="304">
        <f t="shared" ca="1" si="164"/>
        <v>0</v>
      </c>
      <c r="R370" s="306">
        <f t="shared" ca="1" si="165"/>
        <v>0</v>
      </c>
      <c r="S370" s="307">
        <f t="shared" ca="1" si="166"/>
        <v>7.4799999999999969</v>
      </c>
      <c r="T370" s="304">
        <f t="shared" ca="1" si="146"/>
        <v>73.37879999999997</v>
      </c>
      <c r="U370" s="311">
        <f t="shared" ca="1" si="147"/>
        <v>0</v>
      </c>
      <c r="V370" s="306">
        <f t="shared" ca="1" si="148"/>
        <v>1.069294173947358</v>
      </c>
      <c r="W370" s="304">
        <f t="shared" ca="1" si="149"/>
        <v>4.2092873511472355</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6.9336198751036111</v>
      </c>
      <c r="AH370" s="304">
        <f t="shared" ca="1" si="173"/>
        <v>-0.54047872762787152</v>
      </c>
    </row>
    <row r="371" spans="1:34" x14ac:dyDescent="0.2">
      <c r="A371" s="347">
        <f t="shared" ca="1" si="151"/>
        <v>0.1</v>
      </c>
      <c r="B371" s="304">
        <f t="shared" ca="1" si="152"/>
        <v>18.7</v>
      </c>
      <c r="D371" s="306">
        <f t="shared" ca="1" si="153"/>
        <v>-0.35669944688234911</v>
      </c>
      <c r="E371" s="307">
        <f t="shared" ca="1" si="154"/>
        <v>-9.3747522185979495</v>
      </c>
      <c r="F371" s="304">
        <f t="shared" ca="1" si="155"/>
        <v>9.3815357834159183</v>
      </c>
      <c r="G371" s="306">
        <f t="shared" ca="1" si="156"/>
        <v>22.29249704478806</v>
      </c>
      <c r="H371" s="307">
        <f t="shared" ca="1" si="157"/>
        <v>-28.182499653168961</v>
      </c>
      <c r="I371" s="304">
        <f t="shared" ca="1" si="158"/>
        <v>35.93339270362253</v>
      </c>
      <c r="J371" s="306">
        <f t="shared" ca="1" si="159"/>
        <v>509.75225903872024</v>
      </c>
      <c r="K371" s="307">
        <f t="shared" ca="1" si="160"/>
        <v>1354.559587023987</v>
      </c>
      <c r="L371" s="304">
        <f t="shared" ca="1" si="145"/>
        <v>1447.3006047099104</v>
      </c>
      <c r="M371" s="306">
        <f t="shared" ca="1" si="161"/>
        <v>-0.90156428090741081</v>
      </c>
      <c r="N371" s="304">
        <f t="shared" ca="1" si="162"/>
        <v>-51.655828255741625</v>
      </c>
      <c r="P371" s="310">
        <f t="shared" ca="1" si="163"/>
        <v>23</v>
      </c>
      <c r="Q371" s="304">
        <f t="shared" ca="1" si="164"/>
        <v>0</v>
      </c>
      <c r="R371" s="306">
        <f t="shared" ca="1" si="165"/>
        <v>0</v>
      </c>
      <c r="S371" s="307">
        <f t="shared" ca="1" si="166"/>
        <v>7.4799999999999969</v>
      </c>
      <c r="T371" s="304">
        <f t="shared" ca="1" si="146"/>
        <v>73.37879999999997</v>
      </c>
      <c r="U371" s="311">
        <f t="shared" ca="1" si="147"/>
        <v>0</v>
      </c>
      <c r="V371" s="306">
        <f t="shared" ca="1" si="148"/>
        <v>1.0695919254534594</v>
      </c>
      <c r="W371" s="304">
        <f t="shared" ca="1" si="149"/>
        <v>4.3813778936146326</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7.0247591784762147</v>
      </c>
      <c r="AH371" s="304">
        <f t="shared" ca="1" si="173"/>
        <v>-0.56273895068813329</v>
      </c>
    </row>
    <row r="372" spans="1:34" x14ac:dyDescent="0.2">
      <c r="A372" s="347">
        <f t="shared" ca="1" si="151"/>
        <v>0.1</v>
      </c>
      <c r="B372" s="304">
        <f t="shared" ca="1" si="152"/>
        <v>18.8</v>
      </c>
      <c r="D372" s="306">
        <f t="shared" ca="1" si="153"/>
        <v>-0.36338718599868514</v>
      </c>
      <c r="E372" s="307">
        <f t="shared" ca="1" si="154"/>
        <v>-9.3506006234833912</v>
      </c>
      <c r="F372" s="304">
        <f t="shared" ca="1" si="155"/>
        <v>9.3576590163799001</v>
      </c>
      <c r="G372" s="306">
        <f t="shared" ca="1" si="156"/>
        <v>22.256158326188192</v>
      </c>
      <c r="H372" s="307">
        <f t="shared" ca="1" si="157"/>
        <v>-29.117559715517299</v>
      </c>
      <c r="I372" s="304">
        <f t="shared" ca="1" si="158"/>
        <v>36.649268304115864</v>
      </c>
      <c r="J372" s="306">
        <f t="shared" ca="1" si="159"/>
        <v>511.97969180726903</v>
      </c>
      <c r="K372" s="307">
        <f t="shared" ca="1" si="160"/>
        <v>1351.6945840555527</v>
      </c>
      <c r="L372" s="304">
        <f t="shared" ca="1" si="145"/>
        <v>1445.4070199733292</v>
      </c>
      <c r="M372" s="306">
        <f t="shared" ca="1" si="161"/>
        <v>-0.9181710120653187</v>
      </c>
      <c r="N372" s="304">
        <f t="shared" ca="1" si="162"/>
        <v>-52.60732386259815</v>
      </c>
      <c r="P372" s="310">
        <f t="shared" ca="1" si="163"/>
        <v>23</v>
      </c>
      <c r="Q372" s="304">
        <f t="shared" ca="1" si="164"/>
        <v>0</v>
      </c>
      <c r="R372" s="306">
        <f t="shared" ca="1" si="165"/>
        <v>0</v>
      </c>
      <c r="S372" s="307">
        <f t="shared" ca="1" si="166"/>
        <v>7.4799999999999969</v>
      </c>
      <c r="T372" s="304">
        <f t="shared" ca="1" si="146"/>
        <v>73.37879999999997</v>
      </c>
      <c r="U372" s="311">
        <f t="shared" ca="1" si="147"/>
        <v>0</v>
      </c>
      <c r="V372" s="306">
        <f t="shared" ca="1" si="148"/>
        <v>1.0698998173002583</v>
      </c>
      <c r="W372" s="304">
        <f t="shared" ca="1" si="149"/>
        <v>4.5590030197470037</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7.1082208453003339</v>
      </c>
      <c r="AH372" s="304">
        <f t="shared" ca="1" si="173"/>
        <v>-0.58574570770249124</v>
      </c>
    </row>
    <row r="373" spans="1:34" x14ac:dyDescent="0.2">
      <c r="A373" s="347">
        <f t="shared" ca="1" si="151"/>
        <v>0.1</v>
      </c>
      <c r="B373" s="304">
        <f t="shared" ca="1" si="152"/>
        <v>18.900000000000002</v>
      </c>
      <c r="D373" s="306">
        <f t="shared" ca="1" si="153"/>
        <v>-0.3701290526986189</v>
      </c>
      <c r="E373" s="307">
        <f t="shared" ca="1" si="154"/>
        <v>-9.3257630244875376</v>
      </c>
      <c r="F373" s="304">
        <f t="shared" ca="1" si="155"/>
        <v>9.3331051373350835</v>
      </c>
      <c r="G373" s="306">
        <f t="shared" ca="1" si="156"/>
        <v>22.219145420918331</v>
      </c>
      <c r="H373" s="307">
        <f t="shared" ca="1" si="157"/>
        <v>-30.050136017966054</v>
      </c>
      <c r="I373" s="304">
        <f t="shared" ca="1" si="158"/>
        <v>37.372464434850649</v>
      </c>
      <c r="J373" s="306">
        <f t="shared" ca="1" si="159"/>
        <v>514.20345699462439</v>
      </c>
      <c r="K373" s="307">
        <f t="shared" ca="1" si="160"/>
        <v>1348.7361992688786</v>
      </c>
      <c r="L373" s="304">
        <f t="shared" ca="1" si="145"/>
        <v>1443.4315121970569</v>
      </c>
      <c r="M373" s="306">
        <f t="shared" ca="1" si="161"/>
        <v>-0.9341121954505307</v>
      </c>
      <c r="N373" s="304">
        <f t="shared" ca="1" si="162"/>
        <v>-53.52068639101487</v>
      </c>
      <c r="P373" s="310">
        <f t="shared" ca="1" si="163"/>
        <v>23</v>
      </c>
      <c r="Q373" s="304">
        <f t="shared" ca="1" si="164"/>
        <v>0</v>
      </c>
      <c r="R373" s="306">
        <f t="shared" ca="1" si="165"/>
        <v>0</v>
      </c>
      <c r="S373" s="307">
        <f t="shared" ca="1" si="166"/>
        <v>7.4799999999999969</v>
      </c>
      <c r="T373" s="304">
        <f t="shared" ca="1" si="146"/>
        <v>73.37879999999997</v>
      </c>
      <c r="U373" s="311">
        <f t="shared" ca="1" si="147"/>
        <v>0</v>
      </c>
      <c r="V373" s="306">
        <f t="shared" ca="1" si="148"/>
        <v>1.070217831286804</v>
      </c>
      <c r="W373" s="304">
        <f t="shared" ca="1" si="149"/>
        <v>4.7421119975259884</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7.1844766115214975</v>
      </c>
      <c r="AH373" s="304">
        <f t="shared" ca="1" si="173"/>
        <v>-0.6094923823191184</v>
      </c>
    </row>
    <row r="374" spans="1:34" x14ac:dyDescent="0.2">
      <c r="A374" s="347">
        <f t="shared" ca="1" si="151"/>
        <v>0.1</v>
      </c>
      <c r="B374" s="304">
        <f t="shared" ca="1" si="152"/>
        <v>19.000000000000004</v>
      </c>
      <c r="D374" s="306">
        <f t="shared" ca="1" si="153"/>
        <v>-0.37691708438119992</v>
      </c>
      <c r="E374" s="307">
        <f t="shared" ca="1" si="154"/>
        <v>-9.30024098638434</v>
      </c>
      <c r="F374" s="304">
        <f t="shared" ca="1" si="155"/>
        <v>9.3078756380455356</v>
      </c>
      <c r="G374" s="306">
        <f t="shared" ca="1" si="156"/>
        <v>22.181453712480209</v>
      </c>
      <c r="H374" s="307">
        <f t="shared" ca="1" si="157"/>
        <v>-30.980160116604488</v>
      </c>
      <c r="I374" s="304">
        <f t="shared" ca="1" si="158"/>
        <v>38.102325514978126</v>
      </c>
      <c r="J374" s="306">
        <f t="shared" ca="1" si="159"/>
        <v>516.42348695129431</v>
      </c>
      <c r="K374" s="307">
        <f t="shared" ca="1" si="160"/>
        <v>1345.68468446215</v>
      </c>
      <c r="L374" s="304">
        <f t="shared" ca="1" si="145"/>
        <v>1441.3745133971704</v>
      </c>
      <c r="M374" s="306">
        <f t="shared" ca="1" si="161"/>
        <v>-0.94941990099743601</v>
      </c>
      <c r="N374" s="304">
        <f t="shared" ca="1" si="162"/>
        <v>-54.397753312881541</v>
      </c>
      <c r="P374" s="310">
        <f t="shared" ca="1" si="163"/>
        <v>23</v>
      </c>
      <c r="Q374" s="304">
        <f t="shared" ca="1" si="164"/>
        <v>0</v>
      </c>
      <c r="R374" s="306">
        <f t="shared" ca="1" si="165"/>
        <v>0</v>
      </c>
      <c r="S374" s="307">
        <f t="shared" ca="1" si="166"/>
        <v>7.4799999999999969</v>
      </c>
      <c r="T374" s="304">
        <f t="shared" ca="1" si="146"/>
        <v>73.37879999999997</v>
      </c>
      <c r="U374" s="311">
        <f t="shared" ca="1" si="147"/>
        <v>0</v>
      </c>
      <c r="V374" s="306">
        <f t="shared" ca="1" si="148"/>
        <v>1.0705459487166438</v>
      </c>
      <c r="W374" s="304">
        <f t="shared" ca="1" si="149"/>
        <v>4.9306528655779056</v>
      </c>
      <c r="Y374" s="314" t="str">
        <f t="shared" ca="1" si="167"/>
        <v/>
      </c>
      <c r="Z374" s="315" t="str">
        <f t="shared" ca="1" si="168"/>
        <v/>
      </c>
      <c r="AA374" s="316" t="str">
        <f t="shared" ca="1" si="169"/>
        <v/>
      </c>
      <c r="AC374" s="310">
        <f t="shared" ca="1" si="170"/>
        <v>19.000000000000004</v>
      </c>
      <c r="AD374" s="323">
        <f t="shared" ca="1" si="171"/>
        <v>516.42348695129431</v>
      </c>
      <c r="AE374" s="324" t="e">
        <f t="shared" ca="1" si="150"/>
        <v>#N/A</v>
      </c>
      <c r="AG374" s="306">
        <f t="shared" ca="1" si="172"/>
        <v>7.2539698740983267</v>
      </c>
      <c r="AH374" s="304">
        <f t="shared" ca="1" si="173"/>
        <v>-0.63397219218261902</v>
      </c>
    </row>
    <row r="375" spans="1:34" x14ac:dyDescent="0.2">
      <c r="A375" s="347">
        <f t="shared" ca="1" si="151"/>
        <v>0.1</v>
      </c>
      <c r="B375" s="304">
        <f t="shared" ca="1" si="152"/>
        <v>19.100000000000005</v>
      </c>
      <c r="D375" s="306">
        <f t="shared" ca="1" si="153"/>
        <v>-0.38374378269893583</v>
      </c>
      <c r="E375" s="307">
        <f t="shared" ca="1" si="154"/>
        <v>-9.2740367585522332</v>
      </c>
      <c r="F375" s="304">
        <f t="shared" ca="1" si="155"/>
        <v>9.2819726938694505</v>
      </c>
      <c r="G375" s="306">
        <f t="shared" ca="1" si="156"/>
        <v>22.143079334210316</v>
      </c>
      <c r="H375" s="307">
        <f t="shared" ca="1" si="157"/>
        <v>-31.907563792459712</v>
      </c>
      <c r="I375" s="304">
        <f t="shared" ca="1" si="158"/>
        <v>38.838236179968547</v>
      </c>
      <c r="J375" s="306">
        <f t="shared" ca="1" si="159"/>
        <v>518.63971360362882</v>
      </c>
      <c r="K375" s="307">
        <f t="shared" ca="1" si="160"/>
        <v>1342.5402982666967</v>
      </c>
      <c r="L375" s="304">
        <f t="shared" ca="1" si="145"/>
        <v>1439.2364659766251</v>
      </c>
      <c r="M375" s="306">
        <f t="shared" ca="1" si="161"/>
        <v>-0.96412485542857651</v>
      </c>
      <c r="N375" s="304">
        <f t="shared" ca="1" si="162"/>
        <v>-55.24028513971809</v>
      </c>
      <c r="P375" s="310">
        <f t="shared" ca="1" si="163"/>
        <v>23</v>
      </c>
      <c r="Q375" s="304">
        <f t="shared" ca="1" si="164"/>
        <v>0</v>
      </c>
      <c r="R375" s="306">
        <f t="shared" ca="1" si="165"/>
        <v>0</v>
      </c>
      <c r="S375" s="307">
        <f t="shared" ca="1" si="166"/>
        <v>7.4799999999999969</v>
      </c>
      <c r="T375" s="304">
        <f t="shared" ca="1" si="146"/>
        <v>73.37879999999997</v>
      </c>
      <c r="U375" s="311">
        <f t="shared" ca="1" si="147"/>
        <v>0</v>
      </c>
      <c r="V375" s="306">
        <f t="shared" ca="1" si="148"/>
        <v>1.070884150397011</v>
      </c>
      <c r="W375" s="304">
        <f t="shared" ca="1" si="149"/>
        <v>5.1245724475712793</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7.3171163435743205</v>
      </c>
      <c r="AH375" s="304">
        <f t="shared" ca="1" si="173"/>
        <v>-0.65917819058528182</v>
      </c>
    </row>
    <row r="376" spans="1:34" x14ac:dyDescent="0.2">
      <c r="A376" s="347">
        <f t="shared" ca="1" si="151"/>
        <v>0.1</v>
      </c>
      <c r="B376" s="304">
        <f t="shared" ca="1" si="152"/>
        <v>19.200000000000006</v>
      </c>
      <c r="D376" s="306">
        <f t="shared" ca="1" si="153"/>
        <v>-0.39060208485864673</v>
      </c>
      <c r="E376" s="307">
        <f t="shared" ca="1" si="154"/>
        <v>-9.2471532183042022</v>
      </c>
      <c r="F376" s="304">
        <f t="shared" ca="1" si="155"/>
        <v>9.255399107088234</v>
      </c>
      <c r="G376" s="306">
        <f t="shared" ca="1" si="156"/>
        <v>22.104019125724452</v>
      </c>
      <c r="H376" s="307">
        <f t="shared" ca="1" si="157"/>
        <v>-32.832279114290131</v>
      </c>
      <c r="I376" s="304">
        <f t="shared" ca="1" si="158"/>
        <v>39.579618660985659</v>
      </c>
      <c r="J376" s="306">
        <f t="shared" ca="1" si="159"/>
        <v>520.85206852662554</v>
      </c>
      <c r="K376" s="307">
        <f t="shared" ca="1" si="160"/>
        <v>1339.3033061213591</v>
      </c>
      <c r="L376" s="304">
        <f t="shared" ca="1" si="145"/>
        <v>1437.0178228108612</v>
      </c>
      <c r="M376" s="306">
        <f t="shared" ca="1" si="161"/>
        <v>-0.97825642413601677</v>
      </c>
      <c r="N376" s="304">
        <f t="shared" ca="1" si="162"/>
        <v>-56.049964384553562</v>
      </c>
      <c r="P376" s="310">
        <f t="shared" ca="1" si="163"/>
        <v>23</v>
      </c>
      <c r="Q376" s="304">
        <f t="shared" ca="1" si="164"/>
        <v>0</v>
      </c>
      <c r="R376" s="306">
        <f t="shared" ca="1" si="165"/>
        <v>0</v>
      </c>
      <c r="S376" s="307">
        <f t="shared" ca="1" si="166"/>
        <v>7.4799999999999969</v>
      </c>
      <c r="T376" s="304">
        <f t="shared" ca="1" si="146"/>
        <v>73.37879999999997</v>
      </c>
      <c r="U376" s="311">
        <f t="shared" ca="1" si="147"/>
        <v>0</v>
      </c>
      <c r="V376" s="306">
        <f t="shared" ca="1" si="148"/>
        <v>1.0712324166386418</v>
      </c>
      <c r="W376" s="304">
        <f t="shared" ca="1" si="149"/>
        <v>5.3238163684888109</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7.3743049743921034</v>
      </c>
      <c r="AH376" s="304">
        <f t="shared" ca="1" si="173"/>
        <v>-0.68510326839188251</v>
      </c>
    </row>
    <row r="377" spans="1:34" x14ac:dyDescent="0.2">
      <c r="A377" s="347">
        <f t="shared" ca="1" si="151"/>
        <v>0.1</v>
      </c>
      <c r="B377" s="304">
        <f t="shared" ca="1" si="152"/>
        <v>19.300000000000008</v>
      </c>
      <c r="D377" s="306">
        <f t="shared" ca="1" si="153"/>
        <v>-0.39748533608364217</v>
      </c>
      <c r="E377" s="307">
        <f t="shared" ca="1" si="154"/>
        <v>-9.2195938198430305</v>
      </c>
      <c r="F377" s="304">
        <f t="shared" ca="1" si="155"/>
        <v>9.228158255864999</v>
      </c>
      <c r="G377" s="306">
        <f t="shared" ca="1" si="156"/>
        <v>22.064270592116088</v>
      </c>
      <c r="H377" s="307">
        <f t="shared" ca="1" si="157"/>
        <v>-33.754238496274432</v>
      </c>
      <c r="I377" s="304">
        <f t="shared" ca="1" si="158"/>
        <v>40.325930283447818</v>
      </c>
      <c r="J377" s="306">
        <f t="shared" ca="1" si="159"/>
        <v>523.06048301251758</v>
      </c>
      <c r="K377" s="307">
        <f t="shared" ca="1" si="160"/>
        <v>1335.973980240831</v>
      </c>
      <c r="L377" s="304">
        <f t="shared" ca="1" si="145"/>
        <v>1434.7190473294124</v>
      </c>
      <c r="M377" s="306">
        <f t="shared" ca="1" si="161"/>
        <v>-0.9918426119919026</v>
      </c>
      <c r="N377" s="304">
        <f t="shared" ca="1" si="162"/>
        <v>-56.828395608367714</v>
      </c>
      <c r="P377" s="310">
        <f t="shared" ca="1" si="163"/>
        <v>23</v>
      </c>
      <c r="Q377" s="304">
        <f t="shared" ca="1" si="164"/>
        <v>0</v>
      </c>
      <c r="R377" s="306">
        <f t="shared" ca="1" si="165"/>
        <v>0</v>
      </c>
      <c r="S377" s="307">
        <f t="shared" ca="1" si="166"/>
        <v>7.4799999999999969</v>
      </c>
      <c r="T377" s="304">
        <f t="shared" ca="1" si="146"/>
        <v>73.37879999999997</v>
      </c>
      <c r="U377" s="311">
        <f t="shared" ca="1" si="147"/>
        <v>0</v>
      </c>
      <c r="V377" s="306">
        <f t="shared" ca="1" si="148"/>
        <v>1.0715907272561698</v>
      </c>
      <c r="W377" s="304">
        <f t="shared" ca="1" si="149"/>
        <v>5.5283290726176606</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7.425899088618543</v>
      </c>
      <c r="AH377" s="304">
        <f t="shared" ca="1" si="173"/>
        <v>-0.71174015621508202</v>
      </c>
    </row>
    <row r="378" spans="1:34" x14ac:dyDescent="0.2">
      <c r="A378" s="347">
        <f t="shared" ca="1" si="151"/>
        <v>0.1</v>
      </c>
      <c r="B378" s="304">
        <f t="shared" ca="1" si="152"/>
        <v>19.400000000000009</v>
      </c>
      <c r="D378" s="306">
        <f t="shared" ca="1" si="153"/>
        <v>-0.40438726338990871</v>
      </c>
      <c r="E378" s="307">
        <f t="shared" ca="1" si="154"/>
        <v>-9.1913625482731351</v>
      </c>
      <c r="F378" s="304">
        <f t="shared" ca="1" si="155"/>
        <v>9.2002540482635595</v>
      </c>
      <c r="G378" s="306">
        <f t="shared" ca="1" si="156"/>
        <v>22.023831865777098</v>
      </c>
      <c r="H378" s="307">
        <f t="shared" ca="1" si="157"/>
        <v>-34.673374751101747</v>
      </c>
      <c r="I378" s="304">
        <f t="shared" ca="1" si="158"/>
        <v>41.076661094621102</v>
      </c>
      <c r="J378" s="306">
        <f t="shared" ca="1" si="159"/>
        <v>525.26488813541221</v>
      </c>
      <c r="K378" s="307">
        <f t="shared" ca="1" si="160"/>
        <v>1332.5525995784622</v>
      </c>
      <c r="L378" s="304">
        <f t="shared" ca="1" si="145"/>
        <v>1432.3406135941354</v>
      </c>
      <c r="M378" s="306">
        <f t="shared" ca="1" si="161"/>
        <v>-1.0049100790072569</v>
      </c>
      <c r="N378" s="304">
        <f t="shared" ca="1" si="162"/>
        <v>-57.57710631727393</v>
      </c>
      <c r="P378" s="310">
        <f t="shared" ca="1" si="163"/>
        <v>23</v>
      </c>
      <c r="Q378" s="304">
        <f t="shared" ca="1" si="164"/>
        <v>0</v>
      </c>
      <c r="R378" s="306">
        <f t="shared" ca="1" si="165"/>
        <v>0</v>
      </c>
      <c r="S378" s="307">
        <f t="shared" ca="1" si="166"/>
        <v>7.4799999999999969</v>
      </c>
      <c r="T378" s="304">
        <f t="shared" ca="1" si="146"/>
        <v>73.37879999999997</v>
      </c>
      <c r="U378" s="311">
        <f t="shared" ca="1" si="147"/>
        <v>0</v>
      </c>
      <c r="V378" s="306">
        <f t="shared" ca="1" si="148"/>
        <v>1.0719590615690433</v>
      </c>
      <c r="W378" s="304">
        <f t="shared" ca="1" si="149"/>
        <v>5.73805384311569</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7.4722376257337748</v>
      </c>
      <c r="AH378" s="304">
        <f t="shared" ca="1" si="173"/>
        <v>-0.73908142682054312</v>
      </c>
    </row>
    <row r="379" spans="1:34" x14ac:dyDescent="0.2">
      <c r="A379" s="347">
        <f t="shared" ca="1" si="151"/>
        <v>0.1</v>
      </c>
      <c r="B379" s="304">
        <f t="shared" ca="1" si="152"/>
        <v>19.500000000000011</v>
      </c>
      <c r="D379" s="306">
        <f t="shared" ca="1" si="153"/>
        <v>-0.41130195076780041</v>
      </c>
      <c r="E379" s="307">
        <f t="shared" ca="1" si="154"/>
        <v>-9.1624638781414003</v>
      </c>
      <c r="F379" s="304">
        <f t="shared" ca="1" si="155"/>
        <v>9.1716908808000799</v>
      </c>
      <c r="G379" s="306">
        <f t="shared" ca="1" si="156"/>
        <v>21.982701670700319</v>
      </c>
      <c r="H379" s="307">
        <f t="shared" ca="1" si="157"/>
        <v>-35.589621138915888</v>
      </c>
      <c r="I379" s="304">
        <f t="shared" ca="1" si="158"/>
        <v>41.831331625404651</v>
      </c>
      <c r="J379" s="306">
        <f t="shared" ca="1" si="159"/>
        <v>527.46521481223613</v>
      </c>
      <c r="K379" s="307">
        <f t="shared" ca="1" si="160"/>
        <v>1329.0394497839613</v>
      </c>
      <c r="L379" s="304">
        <f t="shared" ca="1" si="145"/>
        <v>1429.8830063746379</v>
      </c>
      <c r="M379" s="306">
        <f t="shared" ca="1" si="161"/>
        <v>-1.017484167426707</v>
      </c>
      <c r="N379" s="304">
        <f t="shared" ca="1" si="162"/>
        <v>-58.297548514932743</v>
      </c>
      <c r="P379" s="310">
        <f t="shared" ca="1" si="163"/>
        <v>23</v>
      </c>
      <c r="Q379" s="304">
        <f t="shared" ca="1" si="164"/>
        <v>0</v>
      </c>
      <c r="R379" s="306">
        <f t="shared" ca="1" si="165"/>
        <v>0</v>
      </c>
      <c r="S379" s="307">
        <f t="shared" ca="1" si="166"/>
        <v>7.4799999999999969</v>
      </c>
      <c r="T379" s="304">
        <f t="shared" ca="1" si="146"/>
        <v>73.37879999999997</v>
      </c>
      <c r="U379" s="311">
        <f t="shared" ca="1" si="147"/>
        <v>0</v>
      </c>
      <c r="V379" s="306">
        <f t="shared" ca="1" si="148"/>
        <v>1.0723373984029232</v>
      </c>
      <c r="W379" s="304">
        <f t="shared" ca="1" si="149"/>
        <v>5.9529328230238709</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7.5136364654737919</v>
      </c>
      <c r="AH379" s="304">
        <f t="shared" ca="1" si="173"/>
        <v>-0.76711949774273958</v>
      </c>
    </row>
    <row r="380" spans="1:34" x14ac:dyDescent="0.2">
      <c r="A380" s="347">
        <f t="shared" ca="1" si="151"/>
        <v>0.1</v>
      </c>
      <c r="B380" s="304">
        <f t="shared" ca="1" si="152"/>
        <v>19.600000000000012</v>
      </c>
      <c r="D380" s="306">
        <f t="shared" ca="1" si="153"/>
        <v>-0.41822381581314005</v>
      </c>
      <c r="E380" s="307">
        <f t="shared" ca="1" si="154"/>
        <v>-9.1329027360226558</v>
      </c>
      <c r="F380" s="304">
        <f t="shared" ca="1" si="155"/>
        <v>9.1424736010427399</v>
      </c>
      <c r="G380" s="306">
        <f t="shared" ca="1" si="156"/>
        <v>21.940879289119003</v>
      </c>
      <c r="H380" s="307">
        <f t="shared" ca="1" si="157"/>
        <v>-36.502911412518152</v>
      </c>
      <c r="I380" s="304">
        <f t="shared" ca="1" si="158"/>
        <v>42.589490787867369</v>
      </c>
      <c r="J380" s="306">
        <f t="shared" ca="1" si="159"/>
        <v>529.66139386022712</v>
      </c>
      <c r="K380" s="307">
        <f t="shared" ca="1" si="160"/>
        <v>1325.4348231563897</v>
      </c>
      <c r="L380" s="304">
        <f t="shared" ca="1" si="145"/>
        <v>1427.3467212214307</v>
      </c>
      <c r="M380" s="306">
        <f t="shared" ca="1" si="161"/>
        <v>-1.029588937430177</v>
      </c>
      <c r="N380" s="304">
        <f t="shared" ca="1" si="162"/>
        <v>-58.991100748108131</v>
      </c>
      <c r="P380" s="310">
        <f t="shared" ca="1" si="163"/>
        <v>23</v>
      </c>
      <c r="Q380" s="304">
        <f t="shared" ca="1" si="164"/>
        <v>0</v>
      </c>
      <c r="R380" s="306">
        <f t="shared" ca="1" si="165"/>
        <v>0</v>
      </c>
      <c r="S380" s="307">
        <f t="shared" ca="1" si="166"/>
        <v>7.4799999999999969</v>
      </c>
      <c r="T380" s="304">
        <f t="shared" ca="1" si="146"/>
        <v>73.37879999999997</v>
      </c>
      <c r="U380" s="311">
        <f t="shared" ca="1" si="147"/>
        <v>0</v>
      </c>
      <c r="V380" s="306">
        <f t="shared" ca="1" si="148"/>
        <v>1.0727257160915178</v>
      </c>
      <c r="W380" s="304">
        <f t="shared" ca="1" si="149"/>
        <v>6.1729070376061763</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7.5503897826479296</v>
      </c>
      <c r="AH380" s="304">
        <f t="shared" ca="1" si="173"/>
        <v>-0.79584663409410072</v>
      </c>
    </row>
    <row r="381" spans="1:34" x14ac:dyDescent="0.2">
      <c r="A381" s="347">
        <f t="shared" ca="1" si="151"/>
        <v>0.1</v>
      </c>
      <c r="B381" s="304">
        <f t="shared" ca="1" si="152"/>
        <v>19.700000000000014</v>
      </c>
      <c r="D381" s="306">
        <f t="shared" ca="1" si="153"/>
        <v>-0.42514758781525935</v>
      </c>
      <c r="E381" s="307">
        <f t="shared" ca="1" si="154"/>
        <v>-9.1026844667085651</v>
      </c>
      <c r="F381" s="304">
        <f t="shared" ca="1" si="155"/>
        <v>9.1126074738179366</v>
      </c>
      <c r="G381" s="306">
        <f t="shared" ca="1" si="156"/>
        <v>21.898364530337478</v>
      </c>
      <c r="H381" s="307">
        <f t="shared" ca="1" si="157"/>
        <v>-37.413179859189007</v>
      </c>
      <c r="I381" s="304">
        <f t="shared" ca="1" si="158"/>
        <v>43.35071390738068</v>
      </c>
      <c r="J381" s="306">
        <f t="shared" ca="1" si="159"/>
        <v>531.85335605119997</v>
      </c>
      <c r="K381" s="307">
        <f t="shared" ca="1" si="160"/>
        <v>1321.7390185928043</v>
      </c>
      <c r="L381" s="304">
        <f t="shared" ca="1" si="145"/>
        <v>1424.7322645373038</v>
      </c>
      <c r="M381" s="306">
        <f t="shared" ca="1" si="161"/>
        <v>-1.04124720911561</v>
      </c>
      <c r="N381" s="304">
        <f t="shared" ca="1" si="162"/>
        <v>-59.659070512100314</v>
      </c>
      <c r="P381" s="310">
        <f t="shared" ca="1" si="163"/>
        <v>23</v>
      </c>
      <c r="Q381" s="304">
        <f t="shared" ca="1" si="164"/>
        <v>0</v>
      </c>
      <c r="R381" s="306">
        <f t="shared" ca="1" si="165"/>
        <v>0</v>
      </c>
      <c r="S381" s="307">
        <f t="shared" ca="1" si="166"/>
        <v>7.4799999999999969</v>
      </c>
      <c r="T381" s="304">
        <f t="shared" ca="1" si="146"/>
        <v>73.37879999999997</v>
      </c>
      <c r="U381" s="311">
        <f t="shared" ca="1" si="147"/>
        <v>0</v>
      </c>
      <c r="V381" s="306">
        <f t="shared" ca="1" si="148"/>
        <v>1.0731239924788232</v>
      </c>
      <c r="W381" s="304">
        <f t="shared" ca="1" si="149"/>
        <v>6.3979164179082701</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7.582771402659084</v>
      </c>
      <c r="AH381" s="304">
        <f t="shared" ca="1" si="173"/>
        <v>-0.8252549515516282</v>
      </c>
    </row>
    <row r="382" spans="1:34" x14ac:dyDescent="0.2">
      <c r="A382" s="347">
        <f t="shared" ca="1" si="151"/>
        <v>0.1</v>
      </c>
      <c r="B382" s="304">
        <f t="shared" ca="1" si="152"/>
        <v>19.800000000000015</v>
      </c>
      <c r="D382" s="306">
        <f t="shared" ca="1" si="153"/>
        <v>-0.43206828728227759</v>
      </c>
      <c r="E382" s="307">
        <f t="shared" ca="1" si="154"/>
        <v>-9.0718148026009473</v>
      </c>
      <c r="F382" s="304">
        <f t="shared" ca="1" si="155"/>
        <v>9.0820981506238248</v>
      </c>
      <c r="G382" s="306">
        <f t="shared" ca="1" si="156"/>
        <v>21.855157701609251</v>
      </c>
      <c r="H382" s="307">
        <f t="shared" ca="1" si="157"/>
        <v>-38.3203613394491</v>
      </c>
      <c r="I382" s="304">
        <f t="shared" ca="1" si="158"/>
        <v>44.114600886193621</v>
      </c>
      <c r="J382" s="306">
        <f t="shared" ca="1" si="159"/>
        <v>534.04103216279725</v>
      </c>
      <c r="K382" s="307">
        <f t="shared" ca="1" si="160"/>
        <v>1317.9523415328724</v>
      </c>
      <c r="L382" s="304">
        <f t="shared" ca="1" si="145"/>
        <v>1422.040153647388</v>
      </c>
      <c r="M382" s="306">
        <f t="shared" ca="1" si="161"/>
        <v>-1.0524806088663252</v>
      </c>
      <c r="N382" s="304">
        <f t="shared" ca="1" si="162"/>
        <v>-60.302696907399607</v>
      </c>
      <c r="P382" s="310">
        <f t="shared" ca="1" si="163"/>
        <v>23</v>
      </c>
      <c r="Q382" s="304">
        <f t="shared" ca="1" si="164"/>
        <v>0</v>
      </c>
      <c r="R382" s="306">
        <f t="shared" ca="1" si="165"/>
        <v>0</v>
      </c>
      <c r="S382" s="307">
        <f t="shared" ca="1" si="166"/>
        <v>7.4799999999999969</v>
      </c>
      <c r="T382" s="304">
        <f t="shared" ca="1" si="146"/>
        <v>73.37879999999997</v>
      </c>
      <c r="U382" s="311">
        <f t="shared" ca="1" si="147"/>
        <v>0</v>
      </c>
      <c r="V382" s="306">
        <f t="shared" ca="1" si="148"/>
        <v>1.0735322049217342</v>
      </c>
      <c r="W382" s="304">
        <f t="shared" ca="1" si="149"/>
        <v>6.6278998254351071</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7.6110361344218109</v>
      </c>
      <c r="AH382" s="304">
        <f t="shared" ca="1" si="173"/>
        <v>-0.85533641950645356</v>
      </c>
    </row>
    <row r="383" spans="1:34" x14ac:dyDescent="0.2">
      <c r="A383" s="347">
        <f t="shared" ca="1" si="151"/>
        <v>0.1</v>
      </c>
      <c r="B383" s="304">
        <f t="shared" ca="1" si="152"/>
        <v>19.900000000000016</v>
      </c>
      <c r="D383" s="306">
        <f t="shared" ca="1" si="153"/>
        <v>-0.43898120686403769</v>
      </c>
      <c r="E383" s="307">
        <f t="shared" ca="1" si="154"/>
        <v>-9.0402998359504529</v>
      </c>
      <c r="F383" s="304">
        <f t="shared" ca="1" si="155"/>
        <v>9.0509516418918956</v>
      </c>
      <c r="G383" s="306">
        <f t="shared" ca="1" si="156"/>
        <v>21.811259580922847</v>
      </c>
      <c r="H383" s="307">
        <f t="shared" ca="1" si="157"/>
        <v>-39.224391323044145</v>
      </c>
      <c r="I383" s="304">
        <f t="shared" ca="1" si="158"/>
        <v>44.880774493870973</v>
      </c>
      <c r="J383" s="306">
        <f t="shared" ca="1" si="159"/>
        <v>536.22435302692384</v>
      </c>
      <c r="K383" s="307">
        <f t="shared" ca="1" si="160"/>
        <v>1314.0751038997478</v>
      </c>
      <c r="L383" s="304">
        <f t="shared" ca="1" si="145"/>
        <v>1419.2709168683321</v>
      </c>
      <c r="M383" s="306">
        <f t="shared" ca="1" si="161"/>
        <v>-1.0633096185702386</v>
      </c>
      <c r="N383" s="304">
        <f t="shared" ca="1" si="162"/>
        <v>-60.923153459740057</v>
      </c>
      <c r="P383" s="310">
        <f t="shared" ca="1" si="163"/>
        <v>23</v>
      </c>
      <c r="Q383" s="304">
        <f t="shared" ca="1" si="164"/>
        <v>0</v>
      </c>
      <c r="R383" s="306">
        <f t="shared" ca="1" si="165"/>
        <v>0</v>
      </c>
      <c r="S383" s="307">
        <f t="shared" ca="1" si="166"/>
        <v>7.4799999999999969</v>
      </c>
      <c r="T383" s="304">
        <f t="shared" ca="1" si="146"/>
        <v>73.37879999999997</v>
      </c>
      <c r="U383" s="311">
        <f t="shared" ca="1" si="147"/>
        <v>0</v>
      </c>
      <c r="V383" s="306">
        <f t="shared" ca="1" si="148"/>
        <v>1.0739503302929938</v>
      </c>
      <c r="W383" s="304">
        <f t="shared" ca="1" si="149"/>
        <v>6.8627950778554609</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7.6354210637763007</v>
      </c>
      <c r="AH383" s="304">
        <f t="shared" ca="1" si="173"/>
        <v>-0.88608286436298256</v>
      </c>
    </row>
    <row r="384" spans="1:34" x14ac:dyDescent="0.2">
      <c r="A384" s="347">
        <f t="shared" ca="1" si="151"/>
        <v>0.1</v>
      </c>
      <c r="B384" s="304">
        <f t="shared" ca="1" si="152"/>
        <v>20.000000000000018</v>
      </c>
      <c r="D384" s="306">
        <f t="shared" ca="1" si="153"/>
        <v>-0.44588189361913289</v>
      </c>
      <c r="E384" s="307">
        <f t="shared" ca="1" si="154"/>
        <v>-9.0081459936190988</v>
      </c>
      <c r="F384" s="304">
        <f t="shared" ca="1" si="155"/>
        <v>9.0191742917748972</v>
      </c>
      <c r="G384" s="306">
        <f t="shared" ca="1" si="156"/>
        <v>21.766671391560934</v>
      </c>
      <c r="H384" s="307">
        <f t="shared" ca="1" si="157"/>
        <v>-40.125205922406053</v>
      </c>
      <c r="I384" s="304">
        <f t="shared" ca="1" si="158"/>
        <v>45.648878779042178</v>
      </c>
      <c r="J384" s="306">
        <f t="shared" ca="1" si="159"/>
        <v>538.40324957554799</v>
      </c>
      <c r="K384" s="307">
        <f t="shared" ca="1" si="160"/>
        <v>1310.1076240374753</v>
      </c>
      <c r="L384" s="304">
        <f t="shared" ca="1" si="145"/>
        <v>1416.4250935770053</v>
      </c>
      <c r="M384" s="306">
        <f t="shared" ca="1" si="161"/>
        <v>-1.0737536264637058</v>
      </c>
      <c r="N384" s="304">
        <f t="shared" ca="1" si="162"/>
        <v>-61.521551033237039</v>
      </c>
      <c r="P384" s="310">
        <f t="shared" ca="1" si="163"/>
        <v>23</v>
      </c>
      <c r="Q384" s="304">
        <f t="shared" ca="1" si="164"/>
        <v>0</v>
      </c>
      <c r="R384" s="306">
        <f t="shared" ca="1" si="165"/>
        <v>0</v>
      </c>
      <c r="S384" s="307">
        <f t="shared" ca="1" si="166"/>
        <v>7.4799999999999969</v>
      </c>
      <c r="T384" s="304">
        <f t="shared" ca="1" si="146"/>
        <v>73.37879999999997</v>
      </c>
      <c r="U384" s="311">
        <f t="shared" ca="1" si="147"/>
        <v>0</v>
      </c>
      <c r="V384" s="306">
        <f t="shared" ca="1" si="148"/>
        <v>1.0743783449844595</v>
      </c>
      <c r="W384" s="304">
        <f t="shared" ca="1" si="149"/>
        <v>7.1025389756484101</v>
      </c>
      <c r="Y384" s="314" t="str">
        <f t="shared" ca="1" si="167"/>
        <v/>
      </c>
      <c r="Z384" s="315" t="str">
        <f t="shared" ca="1" si="168"/>
        <v/>
      </c>
      <c r="AA384" s="316" t="str">
        <f t="shared" ca="1" si="169"/>
        <v/>
      </c>
      <c r="AC384" s="310">
        <f t="shared" ca="1" si="170"/>
        <v>20.000000000000018</v>
      </c>
      <c r="AD384" s="323">
        <f t="shared" ca="1" si="171"/>
        <v>538.40324957554799</v>
      </c>
      <c r="AE384" s="324" t="e">
        <f t="shared" ca="1" si="150"/>
        <v>#N/A</v>
      </c>
      <c r="AG384" s="306">
        <f t="shared" ca="1" si="172"/>
        <v>7.6561467955859861</v>
      </c>
      <c r="AH384" s="304">
        <f t="shared" ca="1" si="173"/>
        <v>-0.91748597297532941</v>
      </c>
    </row>
    <row r="385" spans="1:34" x14ac:dyDescent="0.2">
      <c r="A385" s="347">
        <f t="shared" ca="1" si="151"/>
        <v>0.1</v>
      </c>
      <c r="B385" s="304">
        <f t="shared" ca="1" si="152"/>
        <v>20.100000000000019</v>
      </c>
      <c r="D385" s="306">
        <f t="shared" ca="1" si="153"/>
        <v>-0.45276613256307136</v>
      </c>
      <c r="E385" s="307">
        <f t="shared" ca="1" si="154"/>
        <v>-8.9753600140796816</v>
      </c>
      <c r="F385" s="304">
        <f t="shared" ca="1" si="155"/>
        <v>8.986772755173936</v>
      </c>
      <c r="G385" s="306">
        <f t="shared" ca="1" si="156"/>
        <v>21.721394778304628</v>
      </c>
      <c r="H385" s="307">
        <f t="shared" ca="1" si="157"/>
        <v>-41.022741923814024</v>
      </c>
      <c r="I385" s="304">
        <f t="shared" ca="1" si="158"/>
        <v>46.418577596290135</v>
      </c>
      <c r="J385" s="306">
        <f t="shared" ca="1" si="159"/>
        <v>540.5776528840413</v>
      </c>
      <c r="K385" s="307">
        <f t="shared" ca="1" si="160"/>
        <v>1306.0502266451642</v>
      </c>
      <c r="L385" s="304">
        <f t="shared" ca="1" si="145"/>
        <v>1413.5032342791098</v>
      </c>
      <c r="M385" s="306">
        <f t="shared" ca="1" si="161"/>
        <v>-1.0838309786276483</v>
      </c>
      <c r="N385" s="304">
        <f t="shared" ca="1" si="162"/>
        <v>-62.098940780897976</v>
      </c>
      <c r="P385" s="310">
        <f t="shared" ca="1" si="163"/>
        <v>23</v>
      </c>
      <c r="Q385" s="304">
        <f t="shared" ca="1" si="164"/>
        <v>0</v>
      </c>
      <c r="R385" s="306">
        <f t="shared" ca="1" si="165"/>
        <v>0</v>
      </c>
      <c r="S385" s="307">
        <f t="shared" ca="1" si="166"/>
        <v>7.4799999999999969</v>
      </c>
      <c r="T385" s="304">
        <f t="shared" ca="1" si="146"/>
        <v>73.37879999999997</v>
      </c>
      <c r="U385" s="311">
        <f t="shared" ca="1" si="147"/>
        <v>0</v>
      </c>
      <c r="V385" s="306">
        <f t="shared" ca="1" si="148"/>
        <v>1.0748162249106601</v>
      </c>
      <c r="W385" s="304">
        <f t="shared" ca="1" si="149"/>
        <v>7.347067329613048</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7.6734186367084716</v>
      </c>
      <c r="AH385" s="304">
        <f t="shared" ca="1" si="173"/>
        <v>-0.94953729620968086</v>
      </c>
    </row>
    <row r="386" spans="1:34" x14ac:dyDescent="0.2">
      <c r="A386" s="347">
        <f t="shared" ca="1" si="151"/>
        <v>0.1</v>
      </c>
      <c r="B386" s="304">
        <f t="shared" ca="1" si="152"/>
        <v>20.200000000000021</v>
      </c>
      <c r="D386" s="306">
        <f t="shared" ca="1" si="153"/>
        <v>-0.45962993142886366</v>
      </c>
      <c r="E386" s="307">
        <f t="shared" ca="1" si="154"/>
        <v>-8.9419489263967851</v>
      </c>
      <c r="F386" s="304">
        <f t="shared" ca="1" si="155"/>
        <v>8.9537539767493008</v>
      </c>
      <c r="G386" s="306">
        <f t="shared" ca="1" si="156"/>
        <v>21.675431785161742</v>
      </c>
      <c r="H386" s="307">
        <f t="shared" ca="1" si="157"/>
        <v>-41.916936816453706</v>
      </c>
      <c r="I386" s="304">
        <f t="shared" ca="1" si="158"/>
        <v>47.189553241663269</v>
      </c>
      <c r="J386" s="306">
        <f t="shared" ca="1" si="159"/>
        <v>542.74749421221463</v>
      </c>
      <c r="K386" s="307">
        <f t="shared" ca="1" si="160"/>
        <v>1301.9032427081509</v>
      </c>
      <c r="L386" s="304">
        <f t="shared" ca="1" si="145"/>
        <v>1410.5059006780639</v>
      </c>
      <c r="M386" s="306">
        <f t="shared" ca="1" si="161"/>
        <v>-1.0935590303749594</v>
      </c>
      <c r="N386" s="304">
        <f t="shared" ca="1" si="162"/>
        <v>-62.656317088903769</v>
      </c>
      <c r="P386" s="310">
        <f t="shared" ca="1" si="163"/>
        <v>23</v>
      </c>
      <c r="Q386" s="304">
        <f t="shared" ca="1" si="164"/>
        <v>0</v>
      </c>
      <c r="R386" s="306">
        <f t="shared" ca="1" si="165"/>
        <v>0</v>
      </c>
      <c r="S386" s="307">
        <f t="shared" ca="1" si="166"/>
        <v>7.4799999999999969</v>
      </c>
      <c r="T386" s="304">
        <f t="shared" ca="1" si="146"/>
        <v>73.37879999999997</v>
      </c>
      <c r="U386" s="311">
        <f t="shared" ca="1" si="147"/>
        <v>0</v>
      </c>
      <c r="V386" s="306">
        <f t="shared" ca="1" si="148"/>
        <v>1.0752639455126236</v>
      </c>
      <c r="W386" s="304">
        <f t="shared" ca="1" si="149"/>
        <v>7.5963149891681772</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7.6874277151381092</v>
      </c>
      <c r="AH386" s="304">
        <f t="shared" ca="1" si="173"/>
        <v>-0.9822282526220657</v>
      </c>
    </row>
    <row r="387" spans="1:34" x14ac:dyDescent="0.2">
      <c r="A387" s="347">
        <f t="shared" ca="1" si="151"/>
        <v>0.1</v>
      </c>
      <c r="B387" s="304">
        <f t="shared" ca="1" si="152"/>
        <v>20.300000000000022</v>
      </c>
      <c r="D387" s="306">
        <f t="shared" ca="1" si="153"/>
        <v>-0.46646950656831138</v>
      </c>
      <c r="E387" s="307">
        <f t="shared" ca="1" si="154"/>
        <v>-8.9079200309628188</v>
      </c>
      <c r="F387" s="304">
        <f t="shared" ca="1" si="155"/>
        <v>8.9201251716882712</v>
      </c>
      <c r="G387" s="306">
        <f t="shared" ca="1" si="156"/>
        <v>21.628784834504909</v>
      </c>
      <c r="H387" s="307">
        <f t="shared" ca="1" si="157"/>
        <v>-42.807728819549986</v>
      </c>
      <c r="I387" s="304">
        <f t="shared" ca="1" si="158"/>
        <v>47.961505190156828</v>
      </c>
      <c r="J387" s="306">
        <f t="shared" ca="1" si="159"/>
        <v>544.912705043198</v>
      </c>
      <c r="K387" s="307">
        <f t="shared" ca="1" si="160"/>
        <v>1297.6670094263507</v>
      </c>
      <c r="L387" s="304">
        <f t="shared" ca="1" si="145"/>
        <v>1407.4336657445081</v>
      </c>
      <c r="M387" s="306">
        <f t="shared" ca="1" si="161"/>
        <v>-1.1029541969423065</v>
      </c>
      <c r="N387" s="304">
        <f t="shared" ca="1" si="162"/>
        <v>-63.194620481035166</v>
      </c>
      <c r="P387" s="310">
        <f t="shared" ca="1" si="163"/>
        <v>23</v>
      </c>
      <c r="Q387" s="304">
        <f t="shared" ca="1" si="164"/>
        <v>0</v>
      </c>
      <c r="R387" s="306">
        <f t="shared" ca="1" si="165"/>
        <v>0</v>
      </c>
      <c r="S387" s="307">
        <f t="shared" ca="1" si="166"/>
        <v>7.4799999999999969</v>
      </c>
      <c r="T387" s="304">
        <f t="shared" ca="1" si="146"/>
        <v>73.37879999999997</v>
      </c>
      <c r="U387" s="311">
        <f t="shared" ca="1" si="147"/>
        <v>0</v>
      </c>
      <c r="V387" s="306">
        <f t="shared" ca="1" si="148"/>
        <v>1.0757214817619507</v>
      </c>
      <c r="W387" s="304">
        <f t="shared" ca="1" si="149"/>
        <v>7.8502158713736554</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7.6983520330019317</v>
      </c>
      <c r="AH387" s="304">
        <f t="shared" ca="1" si="173"/>
        <v>-1.0155501322417353</v>
      </c>
    </row>
    <row r="388" spans="1:34" x14ac:dyDescent="0.2">
      <c r="A388" s="347">
        <f t="shared" ca="1" si="151"/>
        <v>0.1</v>
      </c>
      <c r="B388" s="304">
        <f t="shared" ca="1" si="152"/>
        <v>20.400000000000023</v>
      </c>
      <c r="D388" s="306">
        <f t="shared" ca="1" si="153"/>
        <v>-0.47328126992136321</v>
      </c>
      <c r="E388" s="307">
        <f t="shared" ca="1" si="154"/>
        <v>-8.8732808817883964</v>
      </c>
      <c r="F388" s="304">
        <f t="shared" ca="1" si="155"/>
        <v>8.8858938080290955</v>
      </c>
      <c r="G388" s="306">
        <f t="shared" ca="1" si="156"/>
        <v>21.581456707512771</v>
      </c>
      <c r="H388" s="307">
        <f t="shared" ca="1" si="157"/>
        <v>-43.695056907728826</v>
      </c>
      <c r="I388" s="304">
        <f t="shared" ca="1" si="158"/>
        <v>48.73414892852761</v>
      </c>
      <c r="J388" s="306">
        <f t="shared" ca="1" si="159"/>
        <v>547.07321712029886</v>
      </c>
      <c r="K388" s="307">
        <f t="shared" ca="1" si="160"/>
        <v>1293.3418701399867</v>
      </c>
      <c r="L388" s="304">
        <f t="shared" ref="L388:L451" ca="1" si="174">SQRT(pos_x^2+pos_z^2)</f>
        <v>1404.2871137867612</v>
      </c>
      <c r="M388" s="306">
        <f t="shared" ca="1" si="161"/>
        <v>-1.1120320030420434</v>
      </c>
      <c r="N388" s="304">
        <f t="shared" ca="1" si="162"/>
        <v>-63.71474045778821</v>
      </c>
      <c r="P388" s="310">
        <f t="shared" ca="1" si="163"/>
        <v>23</v>
      </c>
      <c r="Q388" s="304">
        <f t="shared" ca="1" si="164"/>
        <v>0</v>
      </c>
      <c r="R388" s="306">
        <f t="shared" ca="1" si="165"/>
        <v>0</v>
      </c>
      <c r="S388" s="307">
        <f t="shared" ca="1" si="166"/>
        <v>7.4799999999999969</v>
      </c>
      <c r="T388" s="304">
        <f t="shared" ref="T388:T451" ca="1" si="175">m*g</f>
        <v>73.37879999999997</v>
      </c>
      <c r="U388" s="311">
        <f t="shared" ref="U388:U451" ca="1" si="176">IF(pos_xz&lt;L_rampe,Poids*COS(Beta),0)</f>
        <v>0</v>
      </c>
      <c r="V388" s="306">
        <f t="shared" ref="V388:V451" ca="1" si="177">Rho_moyen*(20000-Alt_rampe-pos_z)/(20000+Alt_rampe+pos_z)</f>
        <v>1.0761888081651256</v>
      </c>
      <c r="W388" s="304">
        <f t="shared" ref="W388:W451" ca="1" si="178">1/2*Rho*Sref*Cx*vit_xz^2</f>
        <v>8.1087029906095598</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7.7063574528895247</v>
      </c>
      <c r="AH388" s="304">
        <f t="shared" ca="1" si="173"/>
        <v>-1.0494941004510239</v>
      </c>
    </row>
    <row r="389" spans="1:34" x14ac:dyDescent="0.2">
      <c r="A389" s="347">
        <f t="shared" ref="A389:A452" ca="1" si="180">IF(B388+0.01&lt;=T_ini+ROUNDUP(Temps_fin_propu,0), 0.01, IF(K388&gt;0, 0.1, 0.0001))</f>
        <v>0.1</v>
      </c>
      <c r="B389" s="304">
        <f t="shared" ref="B389:B452" ca="1" si="181">B388+pas</f>
        <v>20.500000000000025</v>
      </c>
      <c r="D389" s="306">
        <f t="shared" ref="D389:D452" ca="1" si="182">IF(AND(L388&lt;L_rampe,Poussee&lt;Poids*SIN(M388)),0,(-W388+Poussee)/m*COS(M388)-U388/m*SIN(M388))</f>
        <v>-0.48006181698156392</v>
      </c>
      <c r="E389" s="307">
        <f t="shared" ref="E389:E452" ca="1" si="183">IF(AND(L388&lt;L_rampe,Poussee&lt;Poids*SIN(M388)),0,(-W388+Poussee)/m*SIN(M388)+U388/m*COS(M388)-Poids/m)</f>
        <v>-8.8380392701696078</v>
      </c>
      <c r="F389" s="304">
        <f t="shared" ref="F389:F452" ca="1" si="184">SQRT(acc_x^2+acc_z^2)</f>
        <v>8.8510675903635363</v>
      </c>
      <c r="G389" s="306">
        <f t="shared" ref="G389:G452" ca="1" si="185">G388+acc_x*pas</f>
        <v>21.533450525814615</v>
      </c>
      <c r="H389" s="307">
        <f t="shared" ref="H389:H452" ca="1" si="186">H388+acc_z*pas</f>
        <v>-44.57886083474579</v>
      </c>
      <c r="I389" s="304">
        <f t="shared" ref="I389:I452" ca="1" si="187">SQRT(vit_x^2+vit_z^2)</f>
        <v>49.507214876938271</v>
      </c>
      <c r="J389" s="306">
        <f t="shared" ref="J389:J452" ca="1" si="188">J388+0.5*(vit_x+G388)*pas*(K388&gt;=0)</f>
        <v>549.22896248196525</v>
      </c>
      <c r="K389" s="307">
        <f t="shared" ref="K389:K452" ca="1" si="189">K388+0.5*(vit_z+H388)*pas</f>
        <v>1288.9281742528628</v>
      </c>
      <c r="L389" s="304">
        <f t="shared" ca="1" si="174"/>
        <v>1401.0668405225476</v>
      </c>
      <c r="M389" s="306">
        <f t="shared" ref="M389:M452" ca="1" si="190">IF(AND(L388&gt;L_rampe,G389&gt;0),ATAN2(G389,H389),$M$4)</f>
        <v>-1.1208071309460137</v>
      </c>
      <c r="N389" s="304">
        <f t="shared" ref="N389:N452" ca="1" si="191">DEGREES(Beta)</f>
        <v>-64.217518251373193</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7.4799999999999969</v>
      </c>
      <c r="T389" s="304">
        <f t="shared" ca="1" si="175"/>
        <v>73.37879999999997</v>
      </c>
      <c r="U389" s="311">
        <f t="shared" ca="1" si="176"/>
        <v>0</v>
      </c>
      <c r="V389" s="306">
        <f t="shared" ca="1" si="177"/>
        <v>1.0766658987680418</v>
      </c>
      <c r="W389" s="304">
        <f t="shared" ca="1" si="178"/>
        <v>8.3717084888530753</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7.7115986183292549</v>
      </c>
      <c r="AH389" s="304">
        <f t="shared" ref="AH389:AH452" ca="1" si="202">IF(AND(L388&lt;L_rampe,Poussee&lt;Poids*SIN(M388)), g*SIN(M388), (-W388+Poussee)/m)</f>
        <v>-1.0840512019531501</v>
      </c>
    </row>
    <row r="390" spans="1:34" x14ac:dyDescent="0.2">
      <c r="A390" s="347">
        <f t="shared" ca="1" si="180"/>
        <v>0.1</v>
      </c>
      <c r="B390" s="304">
        <f t="shared" ca="1" si="181"/>
        <v>20.600000000000026</v>
      </c>
      <c r="D390" s="306">
        <f t="shared" ca="1" si="182"/>
        <v>-0.48680791568738763</v>
      </c>
      <c r="E390" s="307">
        <f t="shared" ca="1" si="183"/>
        <v>-8.8022032095755005</v>
      </c>
      <c r="F390" s="304">
        <f t="shared" ca="1" si="184"/>
        <v>8.8156544447611562</v>
      </c>
      <c r="G390" s="306">
        <f t="shared" ca="1" si="185"/>
        <v>21.484769734245877</v>
      </c>
      <c r="H390" s="307">
        <f t="shared" ca="1" si="186"/>
        <v>-45.459081155703338</v>
      </c>
      <c r="I390" s="304">
        <f t="shared" ca="1" si="187"/>
        <v>50.280447393140705</v>
      </c>
      <c r="J390" s="306">
        <f t="shared" ca="1" si="188"/>
        <v>551.37987349496825</v>
      </c>
      <c r="K390" s="307">
        <f t="shared" ca="1" si="189"/>
        <v>1284.4262771533404</v>
      </c>
      <c r="L390" s="304">
        <f t="shared" ca="1" si="174"/>
        <v>1397.7734531523042</v>
      </c>
      <c r="M390" s="306">
        <f t="shared" ca="1" si="190"/>
        <v>-1.1292934668668864</v>
      </c>
      <c r="N390" s="304">
        <f t="shared" ca="1" si="191"/>
        <v>-64.70374948316946</v>
      </c>
      <c r="P390" s="310">
        <f t="shared" ca="1" si="192"/>
        <v>23</v>
      </c>
      <c r="Q390" s="304">
        <f t="shared" ca="1" si="193"/>
        <v>0</v>
      </c>
      <c r="R390" s="306">
        <f t="shared" ca="1" si="194"/>
        <v>0</v>
      </c>
      <c r="S390" s="307">
        <f t="shared" ca="1" si="195"/>
        <v>7.4799999999999969</v>
      </c>
      <c r="T390" s="304">
        <f t="shared" ca="1" si="175"/>
        <v>73.37879999999997</v>
      </c>
      <c r="U390" s="311">
        <f t="shared" ca="1" si="176"/>
        <v>0</v>
      </c>
      <c r="V390" s="306">
        <f t="shared" ca="1" si="177"/>
        <v>1.0771527271607271</v>
      </c>
      <c r="W390" s="304">
        <f t="shared" ca="1" si="178"/>
        <v>8.6391636664965805</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7.7142198101855435</v>
      </c>
      <c r="AH390" s="304">
        <f t="shared" ca="1" si="202"/>
        <v>-1.1192123648199304</v>
      </c>
    </row>
    <row r="391" spans="1:34" x14ac:dyDescent="0.2">
      <c r="A391" s="347">
        <f t="shared" ca="1" si="180"/>
        <v>0.1</v>
      </c>
      <c r="B391" s="304">
        <f t="shared" ca="1" si="181"/>
        <v>20.700000000000028</v>
      </c>
      <c r="D391" s="306">
        <f t="shared" ca="1" si="182"/>
        <v>-0.49351649617182886</v>
      </c>
      <c r="E391" s="307">
        <f t="shared" ca="1" si="183"/>
        <v>-8.7657809216175444</v>
      </c>
      <c r="F391" s="304">
        <f t="shared" ca="1" si="184"/>
        <v>8.7796625047770398</v>
      </c>
      <c r="G391" s="306">
        <f t="shared" ca="1" si="185"/>
        <v>21.435418084628694</v>
      </c>
      <c r="H391" s="307">
        <f t="shared" ca="1" si="186"/>
        <v>-46.335659247865095</v>
      </c>
      <c r="I391" s="304">
        <f t="shared" ca="1" si="187"/>
        <v>51.053603853176639</v>
      </c>
      <c r="J391" s="306">
        <f t="shared" ca="1" si="188"/>
        <v>553.52588288591198</v>
      </c>
      <c r="K391" s="307">
        <f t="shared" ca="1" si="189"/>
        <v>1279.8365401331619</v>
      </c>
      <c r="L391" s="304">
        <f t="shared" ca="1" si="174"/>
        <v>1394.4075704343586</v>
      </c>
      <c r="M391" s="306">
        <f t="shared" ca="1" si="190"/>
        <v>-1.1375041454780688</v>
      </c>
      <c r="N391" s="304">
        <f t="shared" ca="1" si="191"/>
        <v>-65.174186714528545</v>
      </c>
      <c r="P391" s="310">
        <f t="shared" ca="1" si="192"/>
        <v>23</v>
      </c>
      <c r="Q391" s="304">
        <f t="shared" ca="1" si="193"/>
        <v>0</v>
      </c>
      <c r="R391" s="306">
        <f t="shared" ca="1" si="194"/>
        <v>0</v>
      </c>
      <c r="S391" s="307">
        <f t="shared" ca="1" si="195"/>
        <v>7.4799999999999969</v>
      </c>
      <c r="T391" s="304">
        <f t="shared" ca="1" si="175"/>
        <v>73.37879999999997</v>
      </c>
      <c r="U391" s="311">
        <f t="shared" ca="1" si="176"/>
        <v>0</v>
      </c>
      <c r="V391" s="306">
        <f t="shared" ca="1" si="177"/>
        <v>1.0776492664822592</v>
      </c>
      <c r="W391" s="304">
        <f t="shared" ca="1" si="178"/>
        <v>8.910999013653603</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7.7143557414236419</v>
      </c>
      <c r="AH391" s="304">
        <f t="shared" ca="1" si="202"/>
        <v>-1.1549684046118427</v>
      </c>
    </row>
    <row r="392" spans="1:34" x14ac:dyDescent="0.2">
      <c r="A392" s="347">
        <f t="shared" ca="1" si="180"/>
        <v>0.1</v>
      </c>
      <c r="B392" s="304">
        <f t="shared" ca="1" si="181"/>
        <v>20.800000000000029</v>
      </c>
      <c r="D392" s="306">
        <f t="shared" ca="1" si="182"/>
        <v>-0.50018464130572304</v>
      </c>
      <c r="E392" s="307">
        <f t="shared" ca="1" si="183"/>
        <v>-8.7287808229792656</v>
      </c>
      <c r="F392" s="304">
        <f t="shared" ca="1" si="184"/>
        <v>8.7431000984209657</v>
      </c>
      <c r="G392" s="306">
        <f t="shared" ca="1" si="185"/>
        <v>21.38539962049812</v>
      </c>
      <c r="H392" s="307">
        <f t="shared" ca="1" si="186"/>
        <v>-47.208537330163018</v>
      </c>
      <c r="I392" s="304">
        <f t="shared" ca="1" si="187"/>
        <v>51.826453802877509</v>
      </c>
      <c r="J392" s="306">
        <f t="shared" ca="1" si="188"/>
        <v>555.66692377116829</v>
      </c>
      <c r="K392" s="307">
        <f t="shared" ca="1" si="189"/>
        <v>1275.1593303042605</v>
      </c>
      <c r="L392" s="304">
        <f t="shared" ca="1" si="174"/>
        <v>1390.9698227622782</v>
      </c>
      <c r="M392" s="306">
        <f t="shared" ca="1" si="190"/>
        <v>-1.1454515924733155</v>
      </c>
      <c r="N392" s="304">
        <f t="shared" ca="1" si="191"/>
        <v>-65.62954188526011</v>
      </c>
      <c r="P392" s="310">
        <f t="shared" ca="1" si="192"/>
        <v>23</v>
      </c>
      <c r="Q392" s="304">
        <f t="shared" ca="1" si="193"/>
        <v>0</v>
      </c>
      <c r="R392" s="306">
        <f t="shared" ca="1" si="194"/>
        <v>0</v>
      </c>
      <c r="S392" s="307">
        <f t="shared" ca="1" si="195"/>
        <v>7.4799999999999969</v>
      </c>
      <c r="T392" s="304">
        <f t="shared" ca="1" si="175"/>
        <v>73.37879999999997</v>
      </c>
      <c r="U392" s="311">
        <f t="shared" ca="1" si="176"/>
        <v>0</v>
      </c>
      <c r="V392" s="306">
        <f t="shared" ca="1" si="177"/>
        <v>1.0781554894258571</v>
      </c>
      <c r="W392" s="304">
        <f t="shared" ca="1" si="178"/>
        <v>9.1871442419019367</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7.7121322931342835</v>
      </c>
      <c r="AH392" s="304">
        <f t="shared" ca="1" si="202"/>
        <v>-1.1913100285633165</v>
      </c>
    </row>
    <row r="393" spans="1:34" x14ac:dyDescent="0.2">
      <c r="A393" s="347">
        <f t="shared" ca="1" si="180"/>
        <v>0.1</v>
      </c>
      <c r="B393" s="304">
        <f t="shared" ca="1" si="181"/>
        <v>20.900000000000031</v>
      </c>
      <c r="D393" s="306">
        <f t="shared" ca="1" si="182"/>
        <v>-0.50680957797370474</v>
      </c>
      <c r="E393" s="307">
        <f t="shared" ca="1" si="183"/>
        <v>-8.6912115131988124</v>
      </c>
      <c r="F393" s="304">
        <f t="shared" ca="1" si="184"/>
        <v>8.7059757359807453</v>
      </c>
      <c r="G393" s="306">
        <f t="shared" ca="1" si="185"/>
        <v>21.334718662700748</v>
      </c>
      <c r="H393" s="307">
        <f t="shared" ca="1" si="186"/>
        <v>-48.077658481482899</v>
      </c>
      <c r="I393" s="304">
        <f t="shared" ca="1" si="187"/>
        <v>52.598778174770338</v>
      </c>
      <c r="J393" s="306">
        <f t="shared" ca="1" si="188"/>
        <v>557.80292968532819</v>
      </c>
      <c r="K393" s="307">
        <f t="shared" ca="1" si="189"/>
        <v>1270.3950205136782</v>
      </c>
      <c r="L393" s="304">
        <f t="shared" ca="1" si="174"/>
        <v>1387.4608522446622</v>
      </c>
      <c r="M393" s="306">
        <f t="shared" ca="1" si="190"/>
        <v>-1.1531475651146377</v>
      </c>
      <c r="N393" s="304">
        <f t="shared" ca="1" si="191"/>
        <v>-66.070488636856027</v>
      </c>
      <c r="P393" s="310">
        <f t="shared" ca="1" si="192"/>
        <v>23</v>
      </c>
      <c r="Q393" s="304">
        <f t="shared" ca="1" si="193"/>
        <v>0</v>
      </c>
      <c r="R393" s="306">
        <f t="shared" ca="1" si="194"/>
        <v>0</v>
      </c>
      <c r="S393" s="307">
        <f t="shared" ca="1" si="195"/>
        <v>7.4799999999999969</v>
      </c>
      <c r="T393" s="304">
        <f t="shared" ca="1" si="175"/>
        <v>73.37879999999997</v>
      </c>
      <c r="U393" s="311">
        <f t="shared" ca="1" si="176"/>
        <v>0</v>
      </c>
      <c r="V393" s="306">
        <f t="shared" ca="1" si="177"/>
        <v>1.0786713682441358</v>
      </c>
      <c r="W393" s="304">
        <f t="shared" ca="1" si="178"/>
        <v>9.4675283164159119</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7.7076671949826938</v>
      </c>
      <c r="AH393" s="304">
        <f t="shared" ca="1" si="202"/>
        <v>-1.2282278398264626</v>
      </c>
    </row>
    <row r="394" spans="1:34" x14ac:dyDescent="0.2">
      <c r="A394" s="347">
        <f t="shared" ca="1" si="180"/>
        <v>0.1</v>
      </c>
      <c r="B394" s="304">
        <f t="shared" ca="1" si="181"/>
        <v>21.000000000000032</v>
      </c>
      <c r="D394" s="306">
        <f t="shared" ca="1" si="182"/>
        <v>-0.51338866902532265</v>
      </c>
      <c r="E394" s="307">
        <f t="shared" ca="1" si="183"/>
        <v>-8.6530817632099968</v>
      </c>
      <c r="F394" s="304">
        <f t="shared" ca="1" si="184"/>
        <v>8.6682980986051135</v>
      </c>
      <c r="G394" s="306">
        <f t="shared" ca="1" si="185"/>
        <v>21.283379795798215</v>
      </c>
      <c r="H394" s="307">
        <f t="shared" ca="1" si="186"/>
        <v>-48.9429666578039</v>
      </c>
      <c r="I394" s="304">
        <f t="shared" ca="1" si="187"/>
        <v>53.370368565329358</v>
      </c>
      <c r="J394" s="306">
        <f t="shared" ca="1" si="188"/>
        <v>559.93383460825316</v>
      </c>
      <c r="K394" s="307">
        <f t="shared" ca="1" si="189"/>
        <v>1265.543989256714</v>
      </c>
      <c r="L394" s="304">
        <f t="shared" ca="1" si="174"/>
        <v>1383.881312787661</v>
      </c>
      <c r="M394" s="306">
        <f t="shared" ca="1" si="190"/>
        <v>-1.16060319075423</v>
      </c>
      <c r="N394" s="304">
        <f t="shared" ca="1" si="191"/>
        <v>-66.497664519634185</v>
      </c>
      <c r="P394" s="310">
        <f t="shared" ca="1" si="192"/>
        <v>23</v>
      </c>
      <c r="Q394" s="304">
        <f t="shared" ca="1" si="193"/>
        <v>0</v>
      </c>
      <c r="R394" s="306">
        <f t="shared" ca="1" si="194"/>
        <v>0</v>
      </c>
      <c r="S394" s="307">
        <f t="shared" ca="1" si="195"/>
        <v>7.4799999999999969</v>
      </c>
      <c r="T394" s="304">
        <f t="shared" ca="1" si="175"/>
        <v>73.37879999999997</v>
      </c>
      <c r="U394" s="311">
        <f t="shared" ca="1" si="176"/>
        <v>0</v>
      </c>
      <c r="V394" s="306">
        <f t="shared" ca="1" si="177"/>
        <v>1.0791968747545158</v>
      </c>
      <c r="W394" s="304">
        <f t="shared" ca="1" si="178"/>
        <v>9.7520794884419733</v>
      </c>
      <c r="Y394" s="314" t="str">
        <f t="shared" ca="1" si="196"/>
        <v/>
      </c>
      <c r="Z394" s="315" t="str">
        <f t="shared" ca="1" si="197"/>
        <v/>
      </c>
      <c r="AA394" s="316" t="str">
        <f t="shared" ca="1" si="198"/>
        <v/>
      </c>
      <c r="AC394" s="310">
        <f t="shared" ca="1" si="199"/>
        <v>21.000000000000032</v>
      </c>
      <c r="AD394" s="323">
        <f t="shared" ca="1" si="200"/>
        <v>559.93383460825316</v>
      </c>
      <c r="AE394" s="324" t="e">
        <f t="shared" ca="1" si="179"/>
        <v>#N/A</v>
      </c>
      <c r="AG394" s="306">
        <f t="shared" ca="1" si="201"/>
        <v>7.7010706533860116</v>
      </c>
      <c r="AH394" s="304">
        <f t="shared" ca="1" si="202"/>
        <v>-1.2657123417668337</v>
      </c>
    </row>
    <row r="395" spans="1:34" x14ac:dyDescent="0.2">
      <c r="A395" s="347">
        <f t="shared" ca="1" si="180"/>
        <v>0.1</v>
      </c>
      <c r="B395" s="304">
        <f t="shared" ca="1" si="181"/>
        <v>21.100000000000033</v>
      </c>
      <c r="D395" s="306">
        <f t="shared" ca="1" si="182"/>
        <v>-0.51991940584750052</v>
      </c>
      <c r="E395" s="307">
        <f t="shared" ca="1" si="183"/>
        <v>-8.6144005045588177</v>
      </c>
      <c r="F395" s="304">
        <f t="shared" ca="1" si="184"/>
        <v>8.6300760275631418</v>
      </c>
      <c r="G395" s="306">
        <f t="shared" ca="1" si="185"/>
        <v>21.231387855213466</v>
      </c>
      <c r="H395" s="307">
        <f t="shared" ca="1" si="186"/>
        <v>-49.804406708259783</v>
      </c>
      <c r="I395" s="304">
        <f t="shared" ca="1" si="187"/>
        <v>54.141026567846474</v>
      </c>
      <c r="J395" s="306">
        <f t="shared" ca="1" si="188"/>
        <v>562.05957299080376</v>
      </c>
      <c r="K395" s="307">
        <f t="shared" ca="1" si="189"/>
        <v>1260.6066205884108</v>
      </c>
      <c r="L395" s="304">
        <f t="shared" ca="1" si="174"/>
        <v>1380.2318701804918</v>
      </c>
      <c r="M395" s="306">
        <f t="shared" ca="1" si="190"/>
        <v>-1.1678290033447991</v>
      </c>
      <c r="N395" s="304">
        <f t="shared" ca="1" si="191"/>
        <v>-66.911673084626287</v>
      </c>
      <c r="P395" s="310">
        <f t="shared" ca="1" si="192"/>
        <v>23</v>
      </c>
      <c r="Q395" s="304">
        <f t="shared" ca="1" si="193"/>
        <v>0</v>
      </c>
      <c r="R395" s="306">
        <f t="shared" ca="1" si="194"/>
        <v>0</v>
      </c>
      <c r="S395" s="307">
        <f t="shared" ca="1" si="195"/>
        <v>7.4799999999999969</v>
      </c>
      <c r="T395" s="304">
        <f t="shared" ca="1" si="175"/>
        <v>73.37879999999997</v>
      </c>
      <c r="U395" s="311">
        <f t="shared" ca="1" si="176"/>
        <v>0</v>
      </c>
      <c r="V395" s="306">
        <f t="shared" ca="1" si="177"/>
        <v>1.0797319803447767</v>
      </c>
      <c r="W395" s="304">
        <f t="shared" ca="1" si="178"/>
        <v>10.040725328073833</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7.6924459307638209</v>
      </c>
      <c r="AH395" s="304">
        <f t="shared" ca="1" si="202"/>
        <v>-1.3037539423050772</v>
      </c>
    </row>
    <row r="396" spans="1:34" x14ac:dyDescent="0.2">
      <c r="A396" s="347">
        <f t="shared" ca="1" si="180"/>
        <v>0.1</v>
      </c>
      <c r="B396" s="304">
        <f t="shared" ca="1" si="181"/>
        <v>21.200000000000035</v>
      </c>
      <c r="D396" s="306">
        <f t="shared" ca="1" si="182"/>
        <v>-0.52639940150818443</v>
      </c>
      <c r="E396" s="307">
        <f t="shared" ca="1" si="183"/>
        <v>-8.5751768192223743</v>
      </c>
      <c r="F396" s="304">
        <f t="shared" ca="1" si="184"/>
        <v>8.5913185141069537</v>
      </c>
      <c r="G396" s="306">
        <f t="shared" ca="1" si="185"/>
        <v>21.178747915062647</v>
      </c>
      <c r="H396" s="307">
        <f t="shared" ca="1" si="186"/>
        <v>-50.661924390182023</v>
      </c>
      <c r="I396" s="304">
        <f t="shared" ca="1" si="187"/>
        <v>54.910563156521086</v>
      </c>
      <c r="J396" s="306">
        <f t="shared" ca="1" si="188"/>
        <v>564.18007977931757</v>
      </c>
      <c r="K396" s="307">
        <f t="shared" ca="1" si="189"/>
        <v>1255.5833040334887</v>
      </c>
      <c r="L396" s="304">
        <f t="shared" ca="1" si="174"/>
        <v>1376.5132021842178</v>
      </c>
      <c r="M396" s="306">
        <f t="shared" ca="1" si="190"/>
        <v>-1.1748349779744565</v>
      </c>
      <c r="N396" s="304">
        <f t="shared" ca="1" si="191"/>
        <v>-67.313085862281383</v>
      </c>
      <c r="P396" s="310">
        <f t="shared" ca="1" si="192"/>
        <v>23</v>
      </c>
      <c r="Q396" s="304">
        <f t="shared" ca="1" si="193"/>
        <v>0</v>
      </c>
      <c r="R396" s="306">
        <f t="shared" ca="1" si="194"/>
        <v>0</v>
      </c>
      <c r="S396" s="307">
        <f t="shared" ca="1" si="195"/>
        <v>7.4799999999999969</v>
      </c>
      <c r="T396" s="304">
        <f t="shared" ca="1" si="175"/>
        <v>73.37879999999997</v>
      </c>
      <c r="U396" s="311">
        <f t="shared" ca="1" si="176"/>
        <v>0</v>
      </c>
      <c r="V396" s="306">
        <f t="shared" ca="1" si="177"/>
        <v>1.0802766559787469</v>
      </c>
      <c r="W396" s="304">
        <f t="shared" ca="1" si="178"/>
        <v>10.333392757285342</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7.6818898791738075</v>
      </c>
      <c r="AH396" s="304">
        <f t="shared" ca="1" si="202"/>
        <v>-1.3423429582986413</v>
      </c>
    </row>
    <row r="397" spans="1:34" x14ac:dyDescent="0.2">
      <c r="A397" s="347">
        <f t="shared" ca="1" si="180"/>
        <v>0.1</v>
      </c>
      <c r="B397" s="304">
        <f t="shared" ca="1" si="181"/>
        <v>21.300000000000036</v>
      </c>
      <c r="D397" s="306">
        <f t="shared" ca="1" si="182"/>
        <v>-0.53282638442457642</v>
      </c>
      <c r="E397" s="307">
        <f t="shared" ca="1" si="183"/>
        <v>-8.53541992996605</v>
      </c>
      <c r="F397" s="304">
        <f t="shared" ca="1" si="184"/>
        <v>8.5520346898735511</v>
      </c>
      <c r="G397" s="306">
        <f t="shared" ca="1" si="185"/>
        <v>21.12546527662019</v>
      </c>
      <c r="H397" s="307">
        <f t="shared" ca="1" si="186"/>
        <v>-51.515466383178627</v>
      </c>
      <c r="I397" s="304">
        <f t="shared" ca="1" si="187"/>
        <v>55.678798117686526</v>
      </c>
      <c r="J397" s="306">
        <f t="shared" ca="1" si="188"/>
        <v>566.2952904389017</v>
      </c>
      <c r="K397" s="307">
        <f t="shared" ca="1" si="189"/>
        <v>1250.4744344948208</v>
      </c>
      <c r="L397" s="304">
        <f t="shared" ca="1" si="174"/>
        <v>1372.7259986240597</v>
      </c>
      <c r="M397" s="306">
        <f t="shared" ca="1" si="190"/>
        <v>-1.1816305634785558</v>
      </c>
      <c r="N397" s="304">
        <f t="shared" ca="1" si="191"/>
        <v>-67.702444230986558</v>
      </c>
      <c r="P397" s="310">
        <f t="shared" ca="1" si="192"/>
        <v>23</v>
      </c>
      <c r="Q397" s="304">
        <f t="shared" ca="1" si="193"/>
        <v>0</v>
      </c>
      <c r="R397" s="306">
        <f t="shared" ca="1" si="194"/>
        <v>0</v>
      </c>
      <c r="S397" s="307">
        <f t="shared" ca="1" si="195"/>
        <v>7.4799999999999969</v>
      </c>
      <c r="T397" s="304">
        <f t="shared" ca="1" si="175"/>
        <v>73.37879999999997</v>
      </c>
      <c r="U397" s="311">
        <f t="shared" ca="1" si="176"/>
        <v>0</v>
      </c>
      <c r="V397" s="306">
        <f t="shared" ca="1" si="177"/>
        <v>1.080830872202118</v>
      </c>
      <c r="W397" s="304">
        <f t="shared" ca="1" si="178"/>
        <v>10.630008083180853</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7.669493431559478</v>
      </c>
      <c r="AH397" s="304">
        <f t="shared" ca="1" si="202"/>
        <v>-1.3814696199579339</v>
      </c>
    </row>
    <row r="398" spans="1:34" x14ac:dyDescent="0.2">
      <c r="A398" s="347">
        <f t="shared" ca="1" si="180"/>
        <v>0.1</v>
      </c>
      <c r="B398" s="304">
        <f t="shared" ca="1" si="181"/>
        <v>21.400000000000038</v>
      </c>
      <c r="D398" s="306">
        <f t="shared" ca="1" si="182"/>
        <v>-0.53919819251278445</v>
      </c>
      <c r="E398" s="307">
        <f t="shared" ca="1" si="183"/>
        <v>-8.4951391911824921</v>
      </c>
      <c r="F398" s="304">
        <f t="shared" ca="1" si="184"/>
        <v>8.5122338177692107</v>
      </c>
      <c r="G398" s="306">
        <f t="shared" ca="1" si="185"/>
        <v>21.071545457368913</v>
      </c>
      <c r="H398" s="307">
        <f t="shared" ca="1" si="186"/>
        <v>-52.364980302296878</v>
      </c>
      <c r="I398" s="304">
        <f t="shared" ca="1" si="187"/>
        <v>56.445559524393985</v>
      </c>
      <c r="J398" s="306">
        <f t="shared" ca="1" si="188"/>
        <v>568.40514097560117</v>
      </c>
      <c r="K398" s="307">
        <f t="shared" ca="1" si="189"/>
        <v>1245.280412160547</v>
      </c>
      <c r="L398" s="304">
        <f t="shared" ca="1" si="174"/>
        <v>1368.8709614854993</v>
      </c>
      <c r="M398" s="306">
        <f t="shared" ca="1" si="190"/>
        <v>-1.1882247131925887</v>
      </c>
      <c r="N398" s="304">
        <f t="shared" ca="1" si="191"/>
        <v>-68.080261179078036</v>
      </c>
      <c r="P398" s="310">
        <f t="shared" ca="1" si="192"/>
        <v>23</v>
      </c>
      <c r="Q398" s="304">
        <f t="shared" ca="1" si="193"/>
        <v>0</v>
      </c>
      <c r="R398" s="306">
        <f t="shared" ca="1" si="194"/>
        <v>0</v>
      </c>
      <c r="S398" s="307">
        <f t="shared" ca="1" si="195"/>
        <v>7.4799999999999969</v>
      </c>
      <c r="T398" s="304">
        <f t="shared" ca="1" si="175"/>
        <v>73.37879999999997</v>
      </c>
      <c r="U398" s="311">
        <f t="shared" ca="1" si="176"/>
        <v>0</v>
      </c>
      <c r="V398" s="306">
        <f t="shared" ca="1" si="177"/>
        <v>1.0813945991483822</v>
      </c>
      <c r="W398" s="304">
        <f t="shared" ca="1" si="178"/>
        <v>10.930497031424686</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7.6553420537151169</v>
      </c>
      <c r="AH398" s="304">
        <f t="shared" ca="1" si="202"/>
        <v>-1.4211240752915584</v>
      </c>
    </row>
    <row r="399" spans="1:34" x14ac:dyDescent="0.2">
      <c r="A399" s="347">
        <f t="shared" ca="1" si="180"/>
        <v>0.1</v>
      </c>
      <c r="B399" s="304">
        <f t="shared" ca="1" si="181"/>
        <v>21.500000000000039</v>
      </c>
      <c r="D399" s="306">
        <f t="shared" ca="1" si="182"/>
        <v>-0.54551276777900615</v>
      </c>
      <c r="E399" s="307">
        <f t="shared" ca="1" si="183"/>
        <v>-8.4543440801628815</v>
      </c>
      <c r="F399" s="304">
        <f t="shared" ca="1" si="184"/>
        <v>8.4719252832868559</v>
      </c>
      <c r="G399" s="306">
        <f t="shared" ca="1" si="185"/>
        <v>21.016994180591013</v>
      </c>
      <c r="H399" s="307">
        <f t="shared" ca="1" si="186"/>
        <v>-53.210414710313167</v>
      </c>
      <c r="I399" s="304">
        <f t="shared" ca="1" si="187"/>
        <v>57.210683250862409</v>
      </c>
      <c r="J399" s="306">
        <f t="shared" ca="1" si="188"/>
        <v>570.50956795749914</v>
      </c>
      <c r="K399" s="307">
        <f t="shared" ca="1" si="189"/>
        <v>1240.0016424099165</v>
      </c>
      <c r="L399" s="304">
        <f t="shared" ca="1" si="174"/>
        <v>1364.9488050144382</v>
      </c>
      <c r="M399" s="306">
        <f t="shared" ca="1" si="190"/>
        <v>-1.1946259139183892</v>
      </c>
      <c r="N399" s="304">
        <f t="shared" ca="1" si="191"/>
        <v>-68.4470229644825</v>
      </c>
      <c r="P399" s="310">
        <f t="shared" ca="1" si="192"/>
        <v>23</v>
      </c>
      <c r="Q399" s="304">
        <f t="shared" ca="1" si="193"/>
        <v>0</v>
      </c>
      <c r="R399" s="306">
        <f t="shared" ca="1" si="194"/>
        <v>0</v>
      </c>
      <c r="S399" s="307">
        <f t="shared" ca="1" si="195"/>
        <v>7.4799999999999969</v>
      </c>
      <c r="T399" s="304">
        <f t="shared" ca="1" si="175"/>
        <v>73.37879999999997</v>
      </c>
      <c r="U399" s="311">
        <f t="shared" ca="1" si="176"/>
        <v>0</v>
      </c>
      <c r="V399" s="306">
        <f t="shared" ca="1" si="177"/>
        <v>1.0819678065448775</v>
      </c>
      <c r="W399" s="304">
        <f t="shared" ca="1" si="178"/>
        <v>11.23478477981234</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7.6395161599271741</v>
      </c>
      <c r="AH399" s="304">
        <f t="shared" ca="1" si="202"/>
        <v>-1.4612963945754933</v>
      </c>
    </row>
    <row r="400" spans="1:34" x14ac:dyDescent="0.2">
      <c r="A400" s="347">
        <f t="shared" ca="1" si="180"/>
        <v>0.1</v>
      </c>
      <c r="B400" s="304">
        <f t="shared" ca="1" si="181"/>
        <v>21.600000000000041</v>
      </c>
      <c r="D400" s="306">
        <f t="shared" ca="1" si="182"/>
        <v>-0.55176815131544776</v>
      </c>
      <c r="E400" s="307">
        <f t="shared" ca="1" si="183"/>
        <v>-8.4130441887569596</v>
      </c>
      <c r="F400" s="304">
        <f t="shared" ca="1" si="184"/>
        <v>8.4311185862128237</v>
      </c>
      <c r="G400" s="306">
        <f t="shared" ca="1" si="185"/>
        <v>20.961817365459467</v>
      </c>
      <c r="H400" s="307">
        <f t="shared" ca="1" si="186"/>
        <v>-54.051719129188861</v>
      </c>
      <c r="I400" s="304">
        <f t="shared" ca="1" si="187"/>
        <v>57.974012523574721</v>
      </c>
      <c r="J400" s="306">
        <f t="shared" ca="1" si="188"/>
        <v>572.60850853480167</v>
      </c>
      <c r="K400" s="307">
        <f t="shared" ca="1" si="189"/>
        <v>1234.6385357179413</v>
      </c>
      <c r="L400" s="304">
        <f t="shared" ca="1" si="174"/>
        <v>1360.9602558216725</v>
      </c>
      <c r="M400" s="306">
        <f t="shared" ca="1" si="190"/>
        <v>-1.2008422131811973</v>
      </c>
      <c r="N400" s="304">
        <f t="shared" ca="1" si="191"/>
        <v>-68.803190676431683</v>
      </c>
      <c r="P400" s="310">
        <f t="shared" ca="1" si="192"/>
        <v>23</v>
      </c>
      <c r="Q400" s="304">
        <f t="shared" ca="1" si="193"/>
        <v>0</v>
      </c>
      <c r="R400" s="306">
        <f t="shared" ca="1" si="194"/>
        <v>0</v>
      </c>
      <c r="S400" s="307">
        <f t="shared" ca="1" si="195"/>
        <v>7.4799999999999969</v>
      </c>
      <c r="T400" s="304">
        <f t="shared" ca="1" si="175"/>
        <v>73.37879999999997</v>
      </c>
      <c r="U400" s="311">
        <f t="shared" ca="1" si="176"/>
        <v>0</v>
      </c>
      <c r="V400" s="306">
        <f t="shared" ca="1" si="177"/>
        <v>1.0825504637189396</v>
      </c>
      <c r="W400" s="304">
        <f t="shared" ca="1" si="178"/>
        <v>11.542795991947871</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7.6220914950905154</v>
      </c>
      <c r="AH400" s="304">
        <f t="shared" ca="1" si="202"/>
        <v>-1.5019765748412226</v>
      </c>
    </row>
    <row r="401" spans="1:34" x14ac:dyDescent="0.2">
      <c r="A401" s="347">
        <f t="shared" ca="1" si="180"/>
        <v>0.1</v>
      </c>
      <c r="B401" s="304">
        <f t="shared" ca="1" si="181"/>
        <v>21.700000000000042</v>
      </c>
      <c r="D401" s="306">
        <f t="shared" ca="1" si="182"/>
        <v>-0.55796247866710735</v>
      </c>
      <c r="E401" s="307">
        <f t="shared" ca="1" si="183"/>
        <v>-8.3712492153835996</v>
      </c>
      <c r="F401" s="304">
        <f t="shared" ca="1" si="184"/>
        <v>8.3898233326847169</v>
      </c>
      <c r="G401" s="306">
        <f t="shared" ca="1" si="185"/>
        <v>20.906021117592758</v>
      </c>
      <c r="H401" s="307">
        <f t="shared" ca="1" si="186"/>
        <v>-54.888844050727222</v>
      </c>
      <c r="I401" s="304">
        <f t="shared" ca="1" si="187"/>
        <v>58.735397506054966</v>
      </c>
      <c r="J401" s="306">
        <f t="shared" ca="1" si="188"/>
        <v>574.70190045895424</v>
      </c>
      <c r="K401" s="307">
        <f t="shared" ca="1" si="189"/>
        <v>1229.1915075589454</v>
      </c>
      <c r="L401" s="304">
        <f t="shared" ca="1" si="174"/>
        <v>1356.9060529919404</v>
      </c>
      <c r="M401" s="306">
        <f t="shared" ca="1" si="190"/>
        <v>-1.2068812448581607</v>
      </c>
      <c r="N401" s="304">
        <f t="shared" ca="1" si="191"/>
        <v>-69.14920170386749</v>
      </c>
      <c r="P401" s="310">
        <f t="shared" ca="1" si="192"/>
        <v>23</v>
      </c>
      <c r="Q401" s="304">
        <f t="shared" ca="1" si="193"/>
        <v>0</v>
      </c>
      <c r="R401" s="306">
        <f t="shared" ca="1" si="194"/>
        <v>0</v>
      </c>
      <c r="S401" s="307">
        <f t="shared" ca="1" si="195"/>
        <v>7.4799999999999969</v>
      </c>
      <c r="T401" s="304">
        <f t="shared" ca="1" si="175"/>
        <v>73.37879999999997</v>
      </c>
      <c r="U401" s="311">
        <f t="shared" ca="1" si="176"/>
        <v>0</v>
      </c>
      <c r="V401" s="306">
        <f t="shared" ca="1" si="177"/>
        <v>1.0831425396041519</v>
      </c>
      <c r="W401" s="304">
        <f t="shared" ca="1" si="178"/>
        <v>11.854454850992836</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7.6031394859294235</v>
      </c>
      <c r="AH401" s="304">
        <f t="shared" ca="1" si="202"/>
        <v>-1.5431545443780583</v>
      </c>
    </row>
    <row r="402" spans="1:34" x14ac:dyDescent="0.2">
      <c r="A402" s="347">
        <f t="shared" ca="1" si="180"/>
        <v>0.1</v>
      </c>
      <c r="B402" s="304">
        <f t="shared" ca="1" si="181"/>
        <v>21.800000000000043</v>
      </c>
      <c r="D402" s="306">
        <f t="shared" ca="1" si="182"/>
        <v>-0.56409397553827667</v>
      </c>
      <c r="E402" s="307">
        <f t="shared" ca="1" si="183"/>
        <v>-8.3289689573584251</v>
      </c>
      <c r="F402" s="304">
        <f t="shared" ca="1" si="184"/>
        <v>8.348049227566813</v>
      </c>
      <c r="G402" s="306">
        <f t="shared" ca="1" si="185"/>
        <v>20.849611720038929</v>
      </c>
      <c r="H402" s="307">
        <f t="shared" ca="1" si="186"/>
        <v>-55.721740946463065</v>
      </c>
      <c r="I402" s="304">
        <f t="shared" ca="1" si="187"/>
        <v>59.494694914598256</v>
      </c>
      <c r="J402" s="306">
        <f t="shared" ca="1" si="188"/>
        <v>576.78968210083588</v>
      </c>
      <c r="K402" s="307">
        <f t="shared" ca="1" si="189"/>
        <v>1223.660978309086</v>
      </c>
      <c r="L402" s="304">
        <f t="shared" ca="1" si="174"/>
        <v>1352.7869481978057</v>
      </c>
      <c r="M402" s="306">
        <f t="shared" ca="1" si="190"/>
        <v>-1.212750253260138</v>
      </c>
      <c r="N402" s="304">
        <f t="shared" ca="1" si="191"/>
        <v>-69.485471115227611</v>
      </c>
      <c r="P402" s="310">
        <f t="shared" ca="1" si="192"/>
        <v>23</v>
      </c>
      <c r="Q402" s="304">
        <f t="shared" ca="1" si="193"/>
        <v>0</v>
      </c>
      <c r="R402" s="306">
        <f t="shared" ca="1" si="194"/>
        <v>0</v>
      </c>
      <c r="S402" s="307">
        <f t="shared" ca="1" si="195"/>
        <v>7.4799999999999969</v>
      </c>
      <c r="T402" s="304">
        <f t="shared" ca="1" si="175"/>
        <v>73.37879999999997</v>
      </c>
      <c r="U402" s="311">
        <f t="shared" ca="1" si="176"/>
        <v>0</v>
      </c>
      <c r="V402" s="306">
        <f t="shared" ca="1" si="177"/>
        <v>1.0837440027466876</v>
      </c>
      <c r="W402" s="304">
        <f t="shared" ca="1" si="178"/>
        <v>12.169685093453507</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7.5827275637824947</v>
      </c>
      <c r="AH402" s="304">
        <f t="shared" ca="1" si="202"/>
        <v>-1.5848201672450322</v>
      </c>
    </row>
    <row r="403" spans="1:34" x14ac:dyDescent="0.2">
      <c r="A403" s="347">
        <f t="shared" ca="1" si="180"/>
        <v>0.1</v>
      </c>
      <c r="B403" s="304">
        <f t="shared" ca="1" si="181"/>
        <v>21.900000000000045</v>
      </c>
      <c r="D403" s="306">
        <f t="shared" ca="1" si="182"/>
        <v>-0.57016095381015053</v>
      </c>
      <c r="E403" s="307">
        <f t="shared" ca="1" si="183"/>
        <v>-8.2862133035090313</v>
      </c>
      <c r="F403" s="304">
        <f t="shared" ca="1" si="184"/>
        <v>8.3058060671135188</v>
      </c>
      <c r="G403" s="306">
        <f t="shared" ca="1" si="185"/>
        <v>20.792595624657913</v>
      </c>
      <c r="H403" s="307">
        <f t="shared" ca="1" si="186"/>
        <v>-56.550362276813971</v>
      </c>
      <c r="I403" s="304">
        <f t="shared" ca="1" si="187"/>
        <v>60.251767662446618</v>
      </c>
      <c r="J403" s="306">
        <f t="shared" ca="1" si="188"/>
        <v>578.87179246807068</v>
      </c>
      <c r="K403" s="307">
        <f t="shared" ca="1" si="189"/>
        <v>1218.0473731479221</v>
      </c>
      <c r="L403" s="304">
        <f t="shared" ca="1" si="174"/>
        <v>1348.6037058186332</v>
      </c>
      <c r="M403" s="306">
        <f t="shared" ca="1" si="190"/>
        <v>-1.2184561157485772</v>
      </c>
      <c r="N403" s="304">
        <f t="shared" ca="1" si="191"/>
        <v>-69.812392954297195</v>
      </c>
      <c r="P403" s="310">
        <f t="shared" ca="1" si="192"/>
        <v>23</v>
      </c>
      <c r="Q403" s="304">
        <f t="shared" ca="1" si="193"/>
        <v>0</v>
      </c>
      <c r="R403" s="306">
        <f t="shared" ca="1" si="194"/>
        <v>0</v>
      </c>
      <c r="S403" s="307">
        <f t="shared" ca="1" si="195"/>
        <v>7.4799999999999969</v>
      </c>
      <c r="T403" s="304">
        <f t="shared" ca="1" si="175"/>
        <v>73.37879999999997</v>
      </c>
      <c r="U403" s="311">
        <f t="shared" ca="1" si="176"/>
        <v>0</v>
      </c>
      <c r="V403" s="306">
        <f t="shared" ca="1" si="177"/>
        <v>1.0843548213117375</v>
      </c>
      <c r="W403" s="304">
        <f t="shared" ca="1" si="178"/>
        <v>12.488410042974177</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7.5609194612412614</v>
      </c>
      <c r="AH403" s="304">
        <f t="shared" ca="1" si="202"/>
        <v>-1.6269632477879028</v>
      </c>
    </row>
    <row r="404" spans="1:34" x14ac:dyDescent="0.2">
      <c r="A404" s="347">
        <f t="shared" ca="1" si="180"/>
        <v>0.1</v>
      </c>
      <c r="B404" s="304">
        <f t="shared" ca="1" si="181"/>
        <v>22.000000000000046</v>
      </c>
      <c r="D404" s="306">
        <f t="shared" ca="1" si="182"/>
        <v>-0.57616180784329762</v>
      </c>
      <c r="E404" s="307">
        <f t="shared" ca="1" si="183"/>
        <v>-8.2429922270520457</v>
      </c>
      <c r="F404" s="304">
        <f t="shared" ca="1" si="184"/>
        <v>8.263103731895038</v>
      </c>
      <c r="G404" s="306">
        <f t="shared" ca="1" si="185"/>
        <v>20.734979443873584</v>
      </c>
      <c r="H404" s="307">
        <f t="shared" ca="1" si="186"/>
        <v>-57.374661499519178</v>
      </c>
      <c r="I404" s="304">
        <f t="shared" ca="1" si="187"/>
        <v>61.006484530107684</v>
      </c>
      <c r="J404" s="306">
        <f t="shared" ca="1" si="188"/>
        <v>580.9481712214972</v>
      </c>
      <c r="K404" s="307">
        <f t="shared" ca="1" si="189"/>
        <v>1212.3511219591055</v>
      </c>
      <c r="L404" s="304">
        <f t="shared" ca="1" si="174"/>
        <v>1344.35710306492</v>
      </c>
      <c r="M404" s="306">
        <f t="shared" ca="1" si="190"/>
        <v>-1.2240053639681234</v>
      </c>
      <c r="N404" s="304">
        <f t="shared" ca="1" si="191"/>
        <v>-70.130341456747672</v>
      </c>
      <c r="P404" s="310">
        <f t="shared" ca="1" si="192"/>
        <v>23</v>
      </c>
      <c r="Q404" s="304">
        <f t="shared" ca="1" si="193"/>
        <v>0</v>
      </c>
      <c r="R404" s="306">
        <f t="shared" ca="1" si="194"/>
        <v>0</v>
      </c>
      <c r="S404" s="307">
        <f t="shared" ca="1" si="195"/>
        <v>7.4799999999999969</v>
      </c>
      <c r="T404" s="304">
        <f t="shared" ca="1" si="175"/>
        <v>73.37879999999997</v>
      </c>
      <c r="U404" s="311">
        <f t="shared" ca="1" si="176"/>
        <v>0</v>
      </c>
      <c r="V404" s="306">
        <f t="shared" ca="1" si="177"/>
        <v>1.0849749630900187</v>
      </c>
      <c r="W404" s="304">
        <f t="shared" ca="1" si="178"/>
        <v>12.810552644105316</v>
      </c>
      <c r="Y404" s="314" t="str">
        <f t="shared" ca="1" si="196"/>
        <v/>
      </c>
      <c r="Z404" s="315" t="str">
        <f t="shared" ca="1" si="197"/>
        <v/>
      </c>
      <c r="AA404" s="316" t="str">
        <f t="shared" ca="1" si="198"/>
        <v/>
      </c>
      <c r="AC404" s="310">
        <f t="shared" ca="1" si="199"/>
        <v>22.000000000000046</v>
      </c>
      <c r="AD404" s="323">
        <f t="shared" ca="1" si="200"/>
        <v>580.9481712214972</v>
      </c>
      <c r="AE404" s="324" t="e">
        <f t="shared" ca="1" si="179"/>
        <v>#N/A</v>
      </c>
      <c r="AG404" s="306">
        <f t="shared" ca="1" si="201"/>
        <v>7.5377754847674989</v>
      </c>
      <c r="AH404" s="304">
        <f t="shared" ca="1" si="202"/>
        <v>-1.6695735351569763</v>
      </c>
    </row>
    <row r="405" spans="1:34" x14ac:dyDescent="0.2">
      <c r="A405" s="347">
        <f t="shared" ca="1" si="180"/>
        <v>0.1</v>
      </c>
      <c r="B405" s="304">
        <f t="shared" ca="1" si="181"/>
        <v>22.100000000000048</v>
      </c>
      <c r="D405" s="306">
        <f t="shared" ca="1" si="182"/>
        <v>-0.58209501104092221</v>
      </c>
      <c r="E405" s="307">
        <f t="shared" ca="1" si="183"/>
        <v>-8.1993157787094155</v>
      </c>
      <c r="F405" s="304">
        <f t="shared" ca="1" si="184"/>
        <v>8.2199521799626005</v>
      </c>
      <c r="G405" s="306">
        <f t="shared" ca="1" si="185"/>
        <v>20.676769942769493</v>
      </c>
      <c r="H405" s="307">
        <f t="shared" ca="1" si="186"/>
        <v>-58.194593077390117</v>
      </c>
      <c r="I405" s="304">
        <f t="shared" ca="1" si="187"/>
        <v>61.758719859702708</v>
      </c>
      <c r="J405" s="306">
        <f t="shared" ca="1" si="188"/>
        <v>583.01875869082937</v>
      </c>
      <c r="K405" s="307">
        <f t="shared" ca="1" si="189"/>
        <v>1206.5726592302601</v>
      </c>
      <c r="L405" s="304">
        <f t="shared" ca="1" si="174"/>
        <v>1340.0479301082394</v>
      </c>
      <c r="M405" s="306">
        <f t="shared" ca="1" si="190"/>
        <v>-1.2294042037737105</v>
      </c>
      <c r="N405" s="304">
        <f t="shared" ca="1" si="191"/>
        <v>-70.439672191875047</v>
      </c>
      <c r="P405" s="310">
        <f t="shared" ca="1" si="192"/>
        <v>23</v>
      </c>
      <c r="Q405" s="304">
        <f t="shared" ca="1" si="193"/>
        <v>0</v>
      </c>
      <c r="R405" s="306">
        <f t="shared" ca="1" si="194"/>
        <v>0</v>
      </c>
      <c r="S405" s="307">
        <f t="shared" ca="1" si="195"/>
        <v>7.4799999999999969</v>
      </c>
      <c r="T405" s="304">
        <f t="shared" ca="1" si="175"/>
        <v>73.37879999999997</v>
      </c>
      <c r="U405" s="311">
        <f t="shared" ca="1" si="176"/>
        <v>0</v>
      </c>
      <c r="V405" s="306">
        <f t="shared" ca="1" si="177"/>
        <v>1.0856043955043591</v>
      </c>
      <c r="W405" s="304">
        <f t="shared" ca="1" si="178"/>
        <v>13.13603549601657</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7.5133527652555472</v>
      </c>
      <c r="AH405" s="304">
        <f t="shared" ca="1" si="202"/>
        <v>-1.712640727821567</v>
      </c>
    </row>
    <row r="406" spans="1:34" x14ac:dyDescent="0.2">
      <c r="A406" s="347">
        <f t="shared" ca="1" si="180"/>
        <v>0.1</v>
      </c>
      <c r="B406" s="304">
        <f t="shared" ca="1" si="181"/>
        <v>22.200000000000049</v>
      </c>
      <c r="D406" s="306">
        <f t="shared" ca="1" si="182"/>
        <v>-0.58795911265086676</v>
      </c>
      <c r="E406" s="307">
        <f t="shared" ca="1" si="183"/>
        <v>-8.1551940800441294</v>
      </c>
      <c r="F406" s="304">
        <f t="shared" ca="1" si="184"/>
        <v>8.1763614402334248</v>
      </c>
      <c r="G406" s="306">
        <f t="shared" ca="1" si="185"/>
        <v>20.617974031504406</v>
      </c>
      <c r="H406" s="307">
        <f t="shared" ca="1" si="186"/>
        <v>-59.010112485394529</v>
      </c>
      <c r="I406" s="304">
        <f t="shared" ca="1" si="187"/>
        <v>62.508353271404495</v>
      </c>
      <c r="J406" s="306">
        <f t="shared" ca="1" si="188"/>
        <v>585.08349588954309</v>
      </c>
      <c r="K406" s="307">
        <f t="shared" ca="1" si="189"/>
        <v>1200.7124239521208</v>
      </c>
      <c r="L406" s="304">
        <f t="shared" ca="1" si="174"/>
        <v>1335.6769902170608</v>
      </c>
      <c r="M406" s="306">
        <f t="shared" ca="1" si="190"/>
        <v>-1.2346585339284202</v>
      </c>
      <c r="N406" s="304">
        <f t="shared" ca="1" si="191"/>
        <v>-70.740723133908233</v>
      </c>
      <c r="P406" s="310">
        <f t="shared" ca="1" si="192"/>
        <v>23</v>
      </c>
      <c r="Q406" s="304">
        <f t="shared" ca="1" si="193"/>
        <v>0</v>
      </c>
      <c r="R406" s="306">
        <f t="shared" ca="1" si="194"/>
        <v>0</v>
      </c>
      <c r="S406" s="307">
        <f t="shared" ca="1" si="195"/>
        <v>7.4799999999999969</v>
      </c>
      <c r="T406" s="304">
        <f t="shared" ca="1" si="175"/>
        <v>73.37879999999997</v>
      </c>
      <c r="U406" s="311">
        <f t="shared" ca="1" si="176"/>
        <v>0</v>
      </c>
      <c r="V406" s="306">
        <f t="shared" ca="1" si="177"/>
        <v>1.0862430856163505</v>
      </c>
      <c r="W406" s="304">
        <f t="shared" ca="1" si="178"/>
        <v>13.464780886125284</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7.4877054883549548</v>
      </c>
      <c r="AH406" s="304">
        <f t="shared" ca="1" si="202"/>
        <v>-1.7561544780770821</v>
      </c>
    </row>
    <row r="407" spans="1:34" x14ac:dyDescent="0.2">
      <c r="A407" s="347">
        <f t="shared" ca="1" si="180"/>
        <v>0.1</v>
      </c>
      <c r="B407" s="304">
        <f t="shared" ca="1" si="181"/>
        <v>22.30000000000005</v>
      </c>
      <c r="D407" s="306">
        <f t="shared" ca="1" si="182"/>
        <v>-0.5937527347861532</v>
      </c>
      <c r="E407" s="307">
        <f t="shared" ca="1" si="183"/>
        <v>-8.1106373169980657</v>
      </c>
      <c r="F407" s="304">
        <f t="shared" ca="1" si="184"/>
        <v>8.13234160607802</v>
      </c>
      <c r="G407" s="306">
        <f t="shared" ca="1" si="185"/>
        <v>20.558598758025791</v>
      </c>
      <c r="H407" s="307">
        <f t="shared" ca="1" si="186"/>
        <v>-59.821176217094333</v>
      </c>
      <c r="I407" s="304">
        <f t="shared" ca="1" si="187"/>
        <v>63.255269400186357</v>
      </c>
      <c r="J407" s="306">
        <f t="shared" ca="1" si="188"/>
        <v>587.14232452901956</v>
      </c>
      <c r="K407" s="307">
        <f t="shared" ca="1" si="189"/>
        <v>1194.7708595169963</v>
      </c>
      <c r="L407" s="304">
        <f t="shared" ca="1" si="174"/>
        <v>1331.2450998987085</v>
      </c>
      <c r="M407" s="306">
        <f t="shared" ca="1" si="190"/>
        <v>-1.2397739636455309</v>
      </c>
      <c r="N407" s="304">
        <f t="shared" ca="1" si="191"/>
        <v>-71.033815667094487</v>
      </c>
      <c r="P407" s="310">
        <f t="shared" ca="1" si="192"/>
        <v>23</v>
      </c>
      <c r="Q407" s="304">
        <f t="shared" ca="1" si="193"/>
        <v>0</v>
      </c>
      <c r="R407" s="306">
        <f t="shared" ca="1" si="194"/>
        <v>0</v>
      </c>
      <c r="S407" s="307">
        <f t="shared" ca="1" si="195"/>
        <v>7.4799999999999969</v>
      </c>
      <c r="T407" s="304">
        <f t="shared" ca="1" si="175"/>
        <v>73.37879999999997</v>
      </c>
      <c r="U407" s="311">
        <f t="shared" ca="1" si="176"/>
        <v>0</v>
      </c>
      <c r="V407" s="306">
        <f t="shared" ca="1" si="177"/>
        <v>1.0868910001330701</v>
      </c>
      <c r="W407" s="304">
        <f t="shared" ca="1" si="178"/>
        <v>13.796710823612434</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7.4608851062260602</v>
      </c>
      <c r="AH407" s="304">
        <f t="shared" ca="1" si="202"/>
        <v>-1.8001043965408141</v>
      </c>
    </row>
    <row r="408" spans="1:34" x14ac:dyDescent="0.2">
      <c r="A408" s="347">
        <f t="shared" ca="1" si="180"/>
        <v>0.1</v>
      </c>
      <c r="B408" s="304">
        <f t="shared" ca="1" si="181"/>
        <v>22.400000000000052</v>
      </c>
      <c r="D408" s="306">
        <f t="shared" ca="1" si="182"/>
        <v>-0.59947456964557966</v>
      </c>
      <c r="E408" s="307">
        <f t="shared" ca="1" si="183"/>
        <v>-8.0656557336168024</v>
      </c>
      <c r="F408" s="304">
        <f t="shared" ca="1" si="184"/>
        <v>8.0879028290946575</v>
      </c>
      <c r="G408" s="306">
        <f t="shared" ca="1" si="185"/>
        <v>20.498651301061233</v>
      </c>
      <c r="H408" s="307">
        <f t="shared" ca="1" si="186"/>
        <v>-60.627741790456014</v>
      </c>
      <c r="I408" s="304">
        <f t="shared" ca="1" si="187"/>
        <v>63.999357651250733</v>
      </c>
      <c r="J408" s="306">
        <f t="shared" ca="1" si="188"/>
        <v>589.19518703197389</v>
      </c>
      <c r="K408" s="307">
        <f t="shared" ca="1" si="189"/>
        <v>1188.7484136166188</v>
      </c>
      <c r="L408" s="304">
        <f t="shared" ca="1" si="174"/>
        <v>1326.7530890477212</v>
      </c>
      <c r="M408" s="306">
        <f t="shared" ca="1" si="190"/>
        <v>-1.2447558290450449</v>
      </c>
      <c r="N408" s="304">
        <f t="shared" ca="1" si="191"/>
        <v>-71.319255528588883</v>
      </c>
      <c r="P408" s="310">
        <f t="shared" ca="1" si="192"/>
        <v>23</v>
      </c>
      <c r="Q408" s="304">
        <f t="shared" ca="1" si="193"/>
        <v>0</v>
      </c>
      <c r="R408" s="306">
        <f t="shared" ca="1" si="194"/>
        <v>0</v>
      </c>
      <c r="S408" s="307">
        <f t="shared" ca="1" si="195"/>
        <v>7.4799999999999969</v>
      </c>
      <c r="T408" s="304">
        <f t="shared" ca="1" si="175"/>
        <v>73.37879999999997</v>
      </c>
      <c r="U408" s="311">
        <f t="shared" ca="1" si="176"/>
        <v>0</v>
      </c>
      <c r="V408" s="306">
        <f t="shared" ca="1" si="177"/>
        <v>1.0875481054138578</v>
      </c>
      <c r="W408" s="304">
        <f t="shared" ca="1" si="178"/>
        <v>14.131747072798484</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7.4329405322671702</v>
      </c>
      <c r="AH408" s="304">
        <f t="shared" ca="1" si="202"/>
        <v>-1.8444800566326791</v>
      </c>
    </row>
    <row r="409" spans="1:34" x14ac:dyDescent="0.2">
      <c r="A409" s="347">
        <f t="shared" ca="1" si="180"/>
        <v>0.1</v>
      </c>
      <c r="B409" s="304">
        <f t="shared" ca="1" si="181"/>
        <v>22.500000000000053</v>
      </c>
      <c r="D409" s="306">
        <f t="shared" ca="1" si="182"/>
        <v>-0.60512337691743923</v>
      </c>
      <c r="E409" s="307">
        <f t="shared" ca="1" si="183"/>
        <v>-8.0202596259481744</v>
      </c>
      <c r="F409" s="304">
        <f t="shared" ca="1" si="184"/>
        <v>8.0430553130577387</v>
      </c>
      <c r="G409" s="306">
        <f t="shared" ca="1" si="185"/>
        <v>20.438138963369489</v>
      </c>
      <c r="H409" s="307">
        <f t="shared" ca="1" si="186"/>
        <v>-61.429767753050832</v>
      </c>
      <c r="I409" s="304">
        <f t="shared" ca="1" si="187"/>
        <v>64.740511972641713</v>
      </c>
      <c r="J409" s="306">
        <f t="shared" ca="1" si="188"/>
        <v>591.24202654519547</v>
      </c>
      <c r="K409" s="307">
        <f t="shared" ca="1" si="189"/>
        <v>1182.6455381394435</v>
      </c>
      <c r="L409" s="304">
        <f t="shared" ca="1" si="174"/>
        <v>1322.2018011008772</v>
      </c>
      <c r="M409" s="306">
        <f t="shared" ca="1" si="190"/>
        <v>-1.2496092085916815</v>
      </c>
      <c r="N409" s="304">
        <f t="shared" ca="1" si="191"/>
        <v>-71.597333692986282</v>
      </c>
      <c r="P409" s="310">
        <f t="shared" ca="1" si="192"/>
        <v>23</v>
      </c>
      <c r="Q409" s="304">
        <f t="shared" ca="1" si="193"/>
        <v>0</v>
      </c>
      <c r="R409" s="306">
        <f t="shared" ca="1" si="194"/>
        <v>0</v>
      </c>
      <c r="S409" s="307">
        <f t="shared" ca="1" si="195"/>
        <v>7.4799999999999969</v>
      </c>
      <c r="T409" s="304">
        <f t="shared" ca="1" si="175"/>
        <v>73.37879999999997</v>
      </c>
      <c r="U409" s="311">
        <f t="shared" ca="1" si="176"/>
        <v>0</v>
      </c>
      <c r="V409" s="306">
        <f t="shared" ca="1" si="177"/>
        <v>1.0882143674771543</v>
      </c>
      <c r="W409" s="304">
        <f t="shared" ca="1" si="178"/>
        <v>14.469811186352864</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7.4039183202269783</v>
      </c>
      <c r="AH409" s="304">
        <f t="shared" ca="1" si="202"/>
        <v>-1.8892709990372314</v>
      </c>
    </row>
    <row r="410" spans="1:34" x14ac:dyDescent="0.2">
      <c r="A410" s="347">
        <f t="shared" ca="1" si="180"/>
        <v>0.1</v>
      </c>
      <c r="B410" s="304">
        <f t="shared" ca="1" si="181"/>
        <v>22.600000000000055</v>
      </c>
      <c r="D410" s="306">
        <f t="shared" ca="1" si="182"/>
        <v>-0.61069798135088782</v>
      </c>
      <c r="E410" s="307">
        <f t="shared" ca="1" si="183"/>
        <v>-7.9744593361030187</v>
      </c>
      <c r="F410" s="304">
        <f t="shared" ca="1" si="184"/>
        <v>7.997809308028458</v>
      </c>
      <c r="G410" s="306">
        <f t="shared" ca="1" si="185"/>
        <v>20.377069165234399</v>
      </c>
      <c r="H410" s="307">
        <f t="shared" ca="1" si="186"/>
        <v>-62.227213686661138</v>
      </c>
      <c r="I410" s="304">
        <f t="shared" ca="1" si="187"/>
        <v>65.478630643669803</v>
      </c>
      <c r="J410" s="306">
        <f t="shared" ca="1" si="188"/>
        <v>593.28278695162567</v>
      </c>
      <c r="K410" s="307">
        <f t="shared" ca="1" si="189"/>
        <v>1176.4626890674579</v>
      </c>
      <c r="L410" s="304">
        <f t="shared" ca="1" si="174"/>
        <v>1317.5920931991518</v>
      </c>
      <c r="M410" s="306">
        <f t="shared" ca="1" si="190"/>
        <v>-1.254338937577959</v>
      </c>
      <c r="N410" s="304">
        <f t="shared" ca="1" si="191"/>
        <v>-71.868327202140676</v>
      </c>
      <c r="P410" s="310">
        <f t="shared" ca="1" si="192"/>
        <v>23</v>
      </c>
      <c r="Q410" s="304">
        <f t="shared" ca="1" si="193"/>
        <v>0</v>
      </c>
      <c r="R410" s="306">
        <f t="shared" ca="1" si="194"/>
        <v>0</v>
      </c>
      <c r="S410" s="307">
        <f t="shared" ca="1" si="195"/>
        <v>7.4799999999999969</v>
      </c>
      <c r="T410" s="304">
        <f t="shared" ca="1" si="175"/>
        <v>73.37879999999997</v>
      </c>
      <c r="U410" s="311">
        <f t="shared" ca="1" si="176"/>
        <v>0</v>
      </c>
      <c r="V410" s="306">
        <f t="shared" ca="1" si="177"/>
        <v>1.0888897520073879</v>
      </c>
      <c r="W410" s="304">
        <f t="shared" ca="1" si="178"/>
        <v>14.81082453831127</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7.3738628289994645</v>
      </c>
      <c r="AH410" s="304">
        <f t="shared" ca="1" si="202"/>
        <v>-1.9344667361434318</v>
      </c>
    </row>
    <row r="411" spans="1:34" x14ac:dyDescent="0.2">
      <c r="A411" s="347">
        <f t="shared" ca="1" si="180"/>
        <v>0.1</v>
      </c>
      <c r="B411" s="304">
        <f t="shared" ca="1" si="181"/>
        <v>22.700000000000056</v>
      </c>
      <c r="D411" s="306">
        <f t="shared" ca="1" si="182"/>
        <v>-0.61619727048079032</v>
      </c>
      <c r="E411" s="307">
        <f t="shared" ca="1" si="183"/>
        <v>-7.9282652464680696</v>
      </c>
      <c r="F411" s="304">
        <f t="shared" ca="1" si="184"/>
        <v>7.9521751046176909</v>
      </c>
      <c r="G411" s="306">
        <f t="shared" ca="1" si="185"/>
        <v>20.31544943818632</v>
      </c>
      <c r="H411" s="307">
        <f t="shared" ca="1" si="186"/>
        <v>-63.020040211307943</v>
      </c>
      <c r="I411" s="304">
        <f t="shared" ca="1" si="187"/>
        <v>66.213616077891217</v>
      </c>
      <c r="J411" s="306">
        <f t="shared" ca="1" si="188"/>
        <v>595.31741288179671</v>
      </c>
      <c r="K411" s="307">
        <f t="shared" ca="1" si="189"/>
        <v>1170.2003263725594</v>
      </c>
      <c r="L411" s="304">
        <f t="shared" ca="1" si="174"/>
        <v>1312.9248363568722</v>
      </c>
      <c r="M411" s="306">
        <f t="shared" ca="1" si="190"/>
        <v>-1.2589496217125933</v>
      </c>
      <c r="N411" s="304">
        <f t="shared" ca="1" si="191"/>
        <v>-72.132499943723147</v>
      </c>
      <c r="P411" s="310">
        <f t="shared" ca="1" si="192"/>
        <v>23</v>
      </c>
      <c r="Q411" s="304">
        <f t="shared" ca="1" si="193"/>
        <v>0</v>
      </c>
      <c r="R411" s="306">
        <f t="shared" ca="1" si="194"/>
        <v>0</v>
      </c>
      <c r="S411" s="307">
        <f t="shared" ca="1" si="195"/>
        <v>7.4799999999999969</v>
      </c>
      <c r="T411" s="304">
        <f t="shared" ca="1" si="175"/>
        <v>73.37879999999997</v>
      </c>
      <c r="U411" s="311">
        <f t="shared" ca="1" si="176"/>
        <v>0</v>
      </c>
      <c r="V411" s="306">
        <f t="shared" ca="1" si="177"/>
        <v>1.0895742243619091</v>
      </c>
      <c r="W411" s="304">
        <f t="shared" ca="1" si="178"/>
        <v>15.15470835687608</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7.3428163742908596</v>
      </c>
      <c r="AH411" s="304">
        <f t="shared" ca="1" si="202"/>
        <v>-1.9800567564587268</v>
      </c>
    </row>
    <row r="412" spans="1:34" x14ac:dyDescent="0.2">
      <c r="A412" s="347">
        <f t="shared" ca="1" si="180"/>
        <v>0.1</v>
      </c>
      <c r="B412" s="304">
        <f t="shared" ca="1" si="181"/>
        <v>22.800000000000058</v>
      </c>
      <c r="D412" s="306">
        <f t="shared" ca="1" si="182"/>
        <v>-0.62162019249308742</v>
      </c>
      <c r="E412" s="307">
        <f t="shared" ca="1" si="183"/>
        <v>-7.8816877740622271</v>
      </c>
      <c r="F412" s="304">
        <f t="shared" ca="1" si="184"/>
        <v>7.9061630283922888</v>
      </c>
      <c r="G412" s="306">
        <f t="shared" ca="1" si="185"/>
        <v>20.25328741893701</v>
      </c>
      <c r="H412" s="307">
        <f t="shared" ca="1" si="186"/>
        <v>-63.808208988714163</v>
      </c>
      <c r="I412" s="304">
        <f t="shared" ca="1" si="187"/>
        <v>66.945374639488691</v>
      </c>
      <c r="J412" s="306">
        <f t="shared" ca="1" si="188"/>
        <v>597.34584972465291</v>
      </c>
      <c r="K412" s="307">
        <f t="shared" ca="1" si="189"/>
        <v>1163.8589139125584</v>
      </c>
      <c r="L412" s="304">
        <f t="shared" ca="1" si="174"/>
        <v>1308.2009156383385</v>
      </c>
      <c r="M412" s="306">
        <f t="shared" ca="1" si="190"/>
        <v>-1.2634456498710873</v>
      </c>
      <c r="N412" s="304">
        <f t="shared" ca="1" si="191"/>
        <v>-72.390103381776825</v>
      </c>
      <c r="P412" s="310">
        <f t="shared" ca="1" si="192"/>
        <v>23</v>
      </c>
      <c r="Q412" s="304">
        <f t="shared" ca="1" si="193"/>
        <v>0</v>
      </c>
      <c r="R412" s="306">
        <f t="shared" ca="1" si="194"/>
        <v>0</v>
      </c>
      <c r="S412" s="307">
        <f t="shared" ca="1" si="195"/>
        <v>7.4799999999999969</v>
      </c>
      <c r="T412" s="304">
        <f t="shared" ca="1" si="175"/>
        <v>73.37879999999997</v>
      </c>
      <c r="U412" s="311">
        <f t="shared" ca="1" si="176"/>
        <v>0</v>
      </c>
      <c r="V412" s="306">
        <f t="shared" ca="1" si="177"/>
        <v>1.0902677495779707</v>
      </c>
      <c r="W412" s="304">
        <f t="shared" ca="1" si="178"/>
        <v>15.501383756976054</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7.3108193682486409</v>
      </c>
      <c r="AH412" s="304">
        <f t="shared" ca="1" si="202"/>
        <v>-2.0260305289941294</v>
      </c>
    </row>
    <row r="413" spans="1:34" x14ac:dyDescent="0.2">
      <c r="A413" s="347">
        <f t="shared" ca="1" si="180"/>
        <v>0.1</v>
      </c>
      <c r="B413" s="304">
        <f t="shared" ca="1" si="181"/>
        <v>22.900000000000059</v>
      </c>
      <c r="D413" s="306">
        <f t="shared" ca="1" si="182"/>
        <v>-0.62696575421884049</v>
      </c>
      <c r="E413" s="307">
        <f t="shared" ca="1" si="183"/>
        <v>-7.8347373650286034</v>
      </c>
      <c r="F413" s="304">
        <f t="shared" ca="1" si="184"/>
        <v>7.8597834344171682</v>
      </c>
      <c r="G413" s="306">
        <f t="shared" ca="1" si="185"/>
        <v>20.190590843515125</v>
      </c>
      <c r="H413" s="307">
        <f t="shared" ca="1" si="186"/>
        <v>-64.591682725217026</v>
      </c>
      <c r="I413" s="304">
        <f t="shared" ca="1" si="187"/>
        <v>67.673816471995551</v>
      </c>
      <c r="J413" s="306">
        <f t="shared" ca="1" si="188"/>
        <v>599.36804363777549</v>
      </c>
      <c r="K413" s="307">
        <f t="shared" ca="1" si="189"/>
        <v>1157.4389193268619</v>
      </c>
      <c r="L413" s="304">
        <f t="shared" ca="1" si="174"/>
        <v>1303.4212303421746</v>
      </c>
      <c r="M413" s="306">
        <f t="shared" ca="1" si="190"/>
        <v>-1.2678312060620978</v>
      </c>
      <c r="N413" s="304">
        <f t="shared" ca="1" si="191"/>
        <v>-72.641377242339189</v>
      </c>
      <c r="P413" s="310">
        <f t="shared" ca="1" si="192"/>
        <v>23</v>
      </c>
      <c r="Q413" s="304">
        <f t="shared" ca="1" si="193"/>
        <v>0</v>
      </c>
      <c r="R413" s="306">
        <f t="shared" ca="1" si="194"/>
        <v>0</v>
      </c>
      <c r="S413" s="307">
        <f t="shared" ca="1" si="195"/>
        <v>7.4799999999999969</v>
      </c>
      <c r="T413" s="304">
        <f t="shared" ca="1" si="175"/>
        <v>73.37879999999997</v>
      </c>
      <c r="U413" s="311">
        <f t="shared" ca="1" si="176"/>
        <v>0</v>
      </c>
      <c r="V413" s="306">
        <f t="shared" ca="1" si="177"/>
        <v>1.0909702923797437</v>
      </c>
      <c r="W413" s="304">
        <f t="shared" ca="1" si="178"/>
        <v>15.850771772561759</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7.2779104480507728</v>
      </c>
      <c r="AH413" s="304">
        <f t="shared" ca="1" si="202"/>
        <v>-2.0723775076171203</v>
      </c>
    </row>
    <row r="414" spans="1:34" x14ac:dyDescent="0.2">
      <c r="A414" s="347">
        <f t="shared" ca="1" si="180"/>
        <v>0.1</v>
      </c>
      <c r="B414" s="304">
        <f t="shared" ca="1" si="181"/>
        <v>23.00000000000006</v>
      </c>
      <c r="D414" s="306">
        <f t="shared" ca="1" si="182"/>
        <v>-0.63223301924610398</v>
      </c>
      <c r="E414" s="307">
        <f t="shared" ca="1" si="183"/>
        <v>-7.7874244892557707</v>
      </c>
      <c r="F414" s="304">
        <f t="shared" ca="1" si="184"/>
        <v>7.813046701926563</v>
      </c>
      <c r="G414" s="306">
        <f t="shared" ca="1" si="185"/>
        <v>20.127367541590516</v>
      </c>
      <c r="H414" s="307">
        <f t="shared" ca="1" si="186"/>
        <v>-65.370425174142611</v>
      </c>
      <c r="I414" s="304">
        <f t="shared" ca="1" si="187"/>
        <v>68.398855338393275</v>
      </c>
      <c r="J414" s="306">
        <f t="shared" ca="1" si="188"/>
        <v>601.38394155703077</v>
      </c>
      <c r="K414" s="307">
        <f t="shared" ca="1" si="189"/>
        <v>1150.9408139318939</v>
      </c>
      <c r="L414" s="304">
        <f t="shared" ca="1" si="174"/>
        <v>1298.586694193684</v>
      </c>
      <c r="M414" s="306">
        <f t="shared" ca="1" si="190"/>
        <v>-1.2721102806599784</v>
      </c>
      <c r="N414" s="304">
        <f t="shared" ca="1" si="191"/>
        <v>-72.8865501570194</v>
      </c>
      <c r="P414" s="310">
        <f t="shared" ca="1" si="192"/>
        <v>23</v>
      </c>
      <c r="Q414" s="304">
        <f t="shared" ca="1" si="193"/>
        <v>0</v>
      </c>
      <c r="R414" s="306">
        <f t="shared" ca="1" si="194"/>
        <v>0</v>
      </c>
      <c r="S414" s="307">
        <f t="shared" ca="1" si="195"/>
        <v>7.4799999999999969</v>
      </c>
      <c r="T414" s="304">
        <f t="shared" ca="1" si="175"/>
        <v>73.37879999999997</v>
      </c>
      <c r="U414" s="311">
        <f t="shared" ca="1" si="176"/>
        <v>0</v>
      </c>
      <c r="V414" s="306">
        <f t="shared" ca="1" si="177"/>
        <v>1.0916818171853724</v>
      </c>
      <c r="W414" s="304">
        <f t="shared" ca="1" si="178"/>
        <v>16.202793388614847</v>
      </c>
      <c r="Y414" s="314" t="str">
        <f t="shared" ca="1" si="196"/>
        <v/>
      </c>
      <c r="Z414" s="315" t="str">
        <f t="shared" ca="1" si="197"/>
        <v/>
      </c>
      <c r="AA414" s="316" t="str">
        <f t="shared" ca="1" si="198"/>
        <v/>
      </c>
      <c r="AC414" s="310">
        <f t="shared" ca="1" si="199"/>
        <v>23.00000000000006</v>
      </c>
      <c r="AD414" s="323">
        <f t="shared" ca="1" si="200"/>
        <v>601.38394155703077</v>
      </c>
      <c r="AE414" s="324" t="e">
        <f t="shared" ca="1" si="179"/>
        <v>#N/A</v>
      </c>
      <c r="AG414" s="306">
        <f t="shared" ca="1" si="201"/>
        <v>7.2441265943690851</v>
      </c>
      <c r="AH414" s="304">
        <f t="shared" ca="1" si="202"/>
        <v>-2.1190871353692198</v>
      </c>
    </row>
    <row r="415" spans="1:34" x14ac:dyDescent="0.2">
      <c r="A415" s="347">
        <f t="shared" ca="1" si="180"/>
        <v>0.1</v>
      </c>
      <c r="B415" s="304">
        <f t="shared" ca="1" si="181"/>
        <v>23.100000000000062</v>
      </c>
      <c r="D415" s="306">
        <f t="shared" ca="1" si="182"/>
        <v>-0.63742110613972747</v>
      </c>
      <c r="E415" s="307">
        <f t="shared" ca="1" si="183"/>
        <v>-7.739759635122482</v>
      </c>
      <c r="F415" s="304">
        <f t="shared" ca="1" si="184"/>
        <v>7.7659632291186966</v>
      </c>
      <c r="G415" s="306">
        <f t="shared" ca="1" si="185"/>
        <v>20.063625430976543</v>
      </c>
      <c r="H415" s="307">
        <f t="shared" ca="1" si="186"/>
        <v>-66.144401137654853</v>
      </c>
      <c r="I415" s="304">
        <f t="shared" ca="1" si="187"/>
        <v>69.120408471691803</v>
      </c>
      <c r="J415" s="306">
        <f t="shared" ca="1" si="188"/>
        <v>603.39349120565907</v>
      </c>
      <c r="K415" s="307">
        <f t="shared" ca="1" si="189"/>
        <v>1144.3650726163041</v>
      </c>
      <c r="L415" s="304">
        <f t="shared" ca="1" si="174"/>
        <v>1293.6982355454741</v>
      </c>
      <c r="M415" s="306">
        <f t="shared" ca="1" si="190"/>
        <v>-1.2762866809508229</v>
      </c>
      <c r="N415" s="304">
        <f t="shared" ca="1" si="191"/>
        <v>-73.125840267241998</v>
      </c>
      <c r="P415" s="310">
        <f t="shared" ca="1" si="192"/>
        <v>23</v>
      </c>
      <c r="Q415" s="304">
        <f t="shared" ca="1" si="193"/>
        <v>0</v>
      </c>
      <c r="R415" s="306">
        <f t="shared" ca="1" si="194"/>
        <v>0</v>
      </c>
      <c r="S415" s="307">
        <f t="shared" ca="1" si="195"/>
        <v>7.4799999999999969</v>
      </c>
      <c r="T415" s="304">
        <f t="shared" ca="1" si="175"/>
        <v>73.37879999999997</v>
      </c>
      <c r="U415" s="311">
        <f t="shared" ca="1" si="176"/>
        <v>0</v>
      </c>
      <c r="V415" s="306">
        <f t="shared" ca="1" si="177"/>
        <v>1.0924022881140585</v>
      </c>
      <c r="W415" s="304">
        <f t="shared" ca="1" si="178"/>
        <v>16.557369572849144</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7.2095032405430555</v>
      </c>
      <c r="AH415" s="304">
        <f t="shared" ca="1" si="202"/>
        <v>-2.1661488487453013</v>
      </c>
    </row>
    <row r="416" spans="1:34" x14ac:dyDescent="0.2">
      <c r="A416" s="347">
        <f t="shared" ca="1" si="180"/>
        <v>0.1</v>
      </c>
      <c r="B416" s="304">
        <f t="shared" ca="1" si="181"/>
        <v>23.200000000000063</v>
      </c>
      <c r="D416" s="306">
        <f t="shared" ca="1" si="182"/>
        <v>-0.64252918676001247</v>
      </c>
      <c r="E416" s="307">
        <f t="shared" ca="1" si="183"/>
        <v>-7.6917533043609634</v>
      </c>
      <c r="F416" s="304">
        <f t="shared" ca="1" si="184"/>
        <v>7.7185434280689442</v>
      </c>
      <c r="G416" s="306">
        <f t="shared" ca="1" si="185"/>
        <v>19.999372512300543</v>
      </c>
      <c r="H416" s="307">
        <f t="shared" ca="1" si="186"/>
        <v>-66.913576468090952</v>
      </c>
      <c r="I416" s="304">
        <f t="shared" ca="1" si="187"/>
        <v>69.838396435176094</v>
      </c>
      <c r="J416" s="306">
        <f t="shared" ca="1" si="188"/>
        <v>605.39664110282297</v>
      </c>
      <c r="K416" s="307">
        <f t="shared" ca="1" si="189"/>
        <v>1137.7121737360169</v>
      </c>
      <c r="L416" s="304">
        <f t="shared" ca="1" si="174"/>
        <v>1288.7567975866173</v>
      </c>
      <c r="M416" s="306">
        <f t="shared" ca="1" si="190"/>
        <v>-1.2803640410363868</v>
      </c>
      <c r="N416" s="304">
        <f t="shared" ca="1" si="191"/>
        <v>-73.359455791699901</v>
      </c>
      <c r="P416" s="310">
        <f t="shared" ca="1" si="192"/>
        <v>23</v>
      </c>
      <c r="Q416" s="304">
        <f t="shared" ca="1" si="193"/>
        <v>0</v>
      </c>
      <c r="R416" s="306">
        <f t="shared" ca="1" si="194"/>
        <v>0</v>
      </c>
      <c r="S416" s="307">
        <f t="shared" ca="1" si="195"/>
        <v>7.4799999999999969</v>
      </c>
      <c r="T416" s="304">
        <f t="shared" ca="1" si="175"/>
        <v>73.37879999999997</v>
      </c>
      <c r="U416" s="311">
        <f t="shared" ca="1" si="176"/>
        <v>0</v>
      </c>
      <c r="V416" s="306">
        <f t="shared" ca="1" si="177"/>
        <v>1.0931316689931738</v>
      </c>
      <c r="W416" s="304">
        <f t="shared" ca="1" si="178"/>
        <v>16.914421307083074</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7.1740743732293755</v>
      </c>
      <c r="AH416" s="304">
        <f t="shared" ca="1" si="202"/>
        <v>-2.2135520819317045</v>
      </c>
    </row>
    <row r="417" spans="1:34" x14ac:dyDescent="0.2">
      <c r="A417" s="347">
        <f t="shared" ca="1" si="180"/>
        <v>0.1</v>
      </c>
      <c r="B417" s="304">
        <f t="shared" ca="1" si="181"/>
        <v>23.300000000000065</v>
      </c>
      <c r="D417" s="306">
        <f t="shared" ca="1" si="182"/>
        <v>-0.64755648467194382</v>
      </c>
      <c r="E417" s="307">
        <f t="shared" ca="1" si="183"/>
        <v>-7.6434160070345154</v>
      </c>
      <c r="F417" s="304">
        <f t="shared" ca="1" si="184"/>
        <v>7.6707977197571928</v>
      </c>
      <c r="G417" s="306">
        <f t="shared" ca="1" si="185"/>
        <v>19.934616863833348</v>
      </c>
      <c r="H417" s="307">
        <f t="shared" ca="1" si="186"/>
        <v>-67.677918068794398</v>
      </c>
      <c r="I417" s="304">
        <f t="shared" ca="1" si="187"/>
        <v>70.552742991568209</v>
      </c>
      <c r="J417" s="306">
        <f t="shared" ca="1" si="188"/>
        <v>607.39334057162966</v>
      </c>
      <c r="K417" s="307">
        <f t="shared" ca="1" si="189"/>
        <v>1130.9825990091726</v>
      </c>
      <c r="L417" s="304">
        <f t="shared" ca="1" si="174"/>
        <v>1283.7633385606191</v>
      </c>
      <c r="M417" s="306">
        <f t="shared" ca="1" si="190"/>
        <v>-1.284345831137462</v>
      </c>
      <c r="N417" s="304">
        <f t="shared" ca="1" si="191"/>
        <v>-73.58759555939848</v>
      </c>
      <c r="P417" s="310">
        <f t="shared" ca="1" si="192"/>
        <v>23</v>
      </c>
      <c r="Q417" s="304">
        <f t="shared" ca="1" si="193"/>
        <v>0</v>
      </c>
      <c r="R417" s="306">
        <f t="shared" ca="1" si="194"/>
        <v>0</v>
      </c>
      <c r="S417" s="307">
        <f t="shared" ca="1" si="195"/>
        <v>7.4799999999999969</v>
      </c>
      <c r="T417" s="304">
        <f t="shared" ca="1" si="175"/>
        <v>73.37879999999997</v>
      </c>
      <c r="U417" s="311">
        <f t="shared" ca="1" si="176"/>
        <v>0</v>
      </c>
      <c r="V417" s="306">
        <f t="shared" ca="1" si="177"/>
        <v>1.0938699233653999</v>
      </c>
      <c r="W417" s="304">
        <f t="shared" ca="1" si="178"/>
        <v>17.273869618263102</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7.1378726252274287</v>
      </c>
      <c r="AH417" s="304">
        <f t="shared" ca="1" si="202"/>
        <v>-2.261286271000412</v>
      </c>
    </row>
    <row r="418" spans="1:34" x14ac:dyDescent="0.2">
      <c r="A418" s="347">
        <f t="shared" ca="1" si="180"/>
        <v>0.1</v>
      </c>
      <c r="B418" s="304">
        <f t="shared" ca="1" si="181"/>
        <v>23.400000000000066</v>
      </c>
      <c r="D418" s="306">
        <f t="shared" ca="1" si="182"/>
        <v>-0.65250227363740576</v>
      </c>
      <c r="E418" s="307">
        <f t="shared" ca="1" si="183"/>
        <v>-7.5947582566258269</v>
      </c>
      <c r="F418" s="304">
        <f t="shared" ca="1" si="184"/>
        <v>7.6227365292057785</v>
      </c>
      <c r="G418" s="306">
        <f t="shared" ca="1" si="185"/>
        <v>19.869366636469607</v>
      </c>
      <c r="H418" s="307">
        <f t="shared" ca="1" si="186"/>
        <v>-68.437393894456974</v>
      </c>
      <c r="I418" s="304">
        <f t="shared" ca="1" si="187"/>
        <v>71.263374980416899</v>
      </c>
      <c r="J418" s="306">
        <f t="shared" ca="1" si="188"/>
        <v>609.38353974664483</v>
      </c>
      <c r="K418" s="307">
        <f t="shared" ca="1" si="189"/>
        <v>1124.17683341101</v>
      </c>
      <c r="L418" s="304">
        <f t="shared" ca="1" si="174"/>
        <v>1278.718831992458</v>
      </c>
      <c r="M418" s="306">
        <f t="shared" ca="1" si="190"/>
        <v>-1.2882353663356056</v>
      </c>
      <c r="N418" s="304">
        <f t="shared" ca="1" si="191"/>
        <v>-73.810449510519689</v>
      </c>
      <c r="P418" s="310">
        <f t="shared" ca="1" si="192"/>
        <v>23</v>
      </c>
      <c r="Q418" s="304">
        <f t="shared" ca="1" si="193"/>
        <v>0</v>
      </c>
      <c r="R418" s="306">
        <f t="shared" ca="1" si="194"/>
        <v>0</v>
      </c>
      <c r="S418" s="307">
        <f t="shared" ca="1" si="195"/>
        <v>7.4799999999999969</v>
      </c>
      <c r="T418" s="304">
        <f t="shared" ca="1" si="175"/>
        <v>73.37879999999997</v>
      </c>
      <c r="U418" s="311">
        <f t="shared" ca="1" si="176"/>
        <v>0</v>
      </c>
      <c r="V418" s="306">
        <f t="shared" ca="1" si="177"/>
        <v>1.0946170144958858</v>
      </c>
      <c r="W418" s="304">
        <f t="shared" ca="1" si="178"/>
        <v>17.635635609119056</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7.1009293611214268</v>
      </c>
      <c r="AH418" s="304">
        <f t="shared" ca="1" si="202"/>
        <v>-2.3093408580565655</v>
      </c>
    </row>
    <row r="419" spans="1:34" x14ac:dyDescent="0.2">
      <c r="A419" s="347">
        <f t="shared" ca="1" si="180"/>
        <v>0.1</v>
      </c>
      <c r="B419" s="304">
        <f t="shared" ca="1" si="181"/>
        <v>23.500000000000068</v>
      </c>
      <c r="D419" s="306">
        <f t="shared" ca="1" si="182"/>
        <v>-0.65736587618345999</v>
      </c>
      <c r="E419" s="307">
        <f t="shared" ca="1" si="183"/>
        <v>-7.5457905652328421</v>
      </c>
      <c r="F419" s="304">
        <f t="shared" ca="1" si="184"/>
        <v>7.5743702807248221</v>
      </c>
      <c r="G419" s="306">
        <f t="shared" ca="1" si="185"/>
        <v>19.803630048851261</v>
      </c>
      <c r="H419" s="307">
        <f t="shared" ca="1" si="186"/>
        <v>-69.191972950980258</v>
      </c>
      <c r="I419" s="304">
        <f t="shared" ca="1" si="187"/>
        <v>71.970222203081661</v>
      </c>
      <c r="J419" s="306">
        <f t="shared" ca="1" si="188"/>
        <v>611.36718958091092</v>
      </c>
      <c r="K419" s="307">
        <f t="shared" ca="1" si="189"/>
        <v>1117.2953650687382</v>
      </c>
      <c r="L419" s="304">
        <f t="shared" ca="1" si="174"/>
        <v>1273.6242669249618</v>
      </c>
      <c r="M419" s="306">
        <f t="shared" ca="1" si="190"/>
        <v>-1.2920358147896072</v>
      </c>
      <c r="N419" s="304">
        <f t="shared" ca="1" si="191"/>
        <v>-74.028199167191005</v>
      </c>
      <c r="P419" s="310">
        <f t="shared" ca="1" si="192"/>
        <v>23</v>
      </c>
      <c r="Q419" s="304">
        <f t="shared" ca="1" si="193"/>
        <v>0</v>
      </c>
      <c r="R419" s="306">
        <f t="shared" ca="1" si="194"/>
        <v>0</v>
      </c>
      <c r="S419" s="307">
        <f t="shared" ca="1" si="195"/>
        <v>7.4799999999999969</v>
      </c>
      <c r="T419" s="304">
        <f t="shared" ca="1" si="175"/>
        <v>73.37879999999997</v>
      </c>
      <c r="U419" s="311">
        <f t="shared" ca="1" si="176"/>
        <v>0</v>
      </c>
      <c r="V419" s="306">
        <f t="shared" ca="1" si="177"/>
        <v>1.0953729053794246</v>
      </c>
      <c r="W419" s="304">
        <f t="shared" ca="1" si="178"/>
        <v>17.999640488432863</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7.0632747563253186</v>
      </c>
      <c r="AH419" s="304">
        <f t="shared" ca="1" si="202"/>
        <v>-2.3577052953367734</v>
      </c>
    </row>
    <row r="420" spans="1:34" x14ac:dyDescent="0.2">
      <c r="A420" s="347">
        <f t="shared" ca="1" si="180"/>
        <v>0.1</v>
      </c>
      <c r="B420" s="304">
        <f t="shared" ca="1" si="181"/>
        <v>23.600000000000069</v>
      </c>
      <c r="D420" s="306">
        <f t="shared" ca="1" si="182"/>
        <v>-0.66214666224034424</v>
      </c>
      <c r="E420" s="307">
        <f t="shared" ca="1" si="183"/>
        <v>-7.4965234388695654</v>
      </c>
      <c r="F420" s="304">
        <f t="shared" ca="1" si="184"/>
        <v>7.5257093932623258</v>
      </c>
      <c r="G420" s="306">
        <f t="shared" ca="1" si="185"/>
        <v>19.737415382627226</v>
      </c>
      <c r="H420" s="307">
        <f t="shared" ca="1" si="186"/>
        <v>-69.941625294867208</v>
      </c>
      <c r="I420" s="304">
        <f t="shared" ca="1" si="187"/>
        <v>72.673217314730039</v>
      </c>
      <c r="J420" s="306">
        <f t="shared" ca="1" si="188"/>
        <v>613.34424185248486</v>
      </c>
      <c r="K420" s="307">
        <f t="shared" ca="1" si="189"/>
        <v>1110.3386851564458</v>
      </c>
      <c r="L420" s="304">
        <f t="shared" ca="1" si="174"/>
        <v>1268.4806481647815</v>
      </c>
      <c r="M420" s="306">
        <f t="shared" ca="1" si="190"/>
        <v>-1.2957502054606926</v>
      </c>
      <c r="N420" s="304">
        <f t="shared" ca="1" si="191"/>
        <v>-74.241018076106968</v>
      </c>
      <c r="P420" s="310">
        <f t="shared" ca="1" si="192"/>
        <v>23</v>
      </c>
      <c r="Q420" s="304">
        <f t="shared" ca="1" si="193"/>
        <v>0</v>
      </c>
      <c r="R420" s="306">
        <f t="shared" ca="1" si="194"/>
        <v>0</v>
      </c>
      <c r="S420" s="307">
        <f t="shared" ca="1" si="195"/>
        <v>7.4799999999999969</v>
      </c>
      <c r="T420" s="304">
        <f t="shared" ca="1" si="175"/>
        <v>73.37879999999997</v>
      </c>
      <c r="U420" s="311">
        <f t="shared" ca="1" si="176"/>
        <v>0</v>
      </c>
      <c r="V420" s="306">
        <f t="shared" ca="1" si="177"/>
        <v>1.096137558747645</v>
      </c>
      <c r="W420" s="304">
        <f t="shared" ca="1" si="178"/>
        <v>18.365805600902632</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7.0249378700669691</v>
      </c>
      <c r="AH420" s="304">
        <f t="shared" ca="1" si="202"/>
        <v>-2.4063690492557313</v>
      </c>
    </row>
    <row r="421" spans="1:34" x14ac:dyDescent="0.2">
      <c r="A421" s="347">
        <f t="shared" ca="1" si="180"/>
        <v>0.1</v>
      </c>
      <c r="B421" s="304">
        <f t="shared" ca="1" si="181"/>
        <v>23.70000000000007</v>
      </c>
      <c r="D421" s="306">
        <f t="shared" ca="1" si="182"/>
        <v>-0.6668440478433888</v>
      </c>
      <c r="E421" s="307">
        <f t="shared" ca="1" si="183"/>
        <v>-7.4469673728695396</v>
      </c>
      <c r="F421" s="304">
        <f t="shared" ca="1" si="184"/>
        <v>7.476764275856743</v>
      </c>
      <c r="G421" s="306">
        <f t="shared" ca="1" si="185"/>
        <v>19.670730977842886</v>
      </c>
      <c r="H421" s="307">
        <f t="shared" ca="1" si="186"/>
        <v>-70.686322032154166</v>
      </c>
      <c r="I421" s="304">
        <f t="shared" ca="1" si="187"/>
        <v>73.372295722814016</v>
      </c>
      <c r="J421" s="306">
        <f t="shared" ca="1" si="188"/>
        <v>615.31464917050835</v>
      </c>
      <c r="K421" s="307">
        <f t="shared" ca="1" si="189"/>
        <v>1103.3072877900947</v>
      </c>
      <c r="L421" s="304">
        <f t="shared" ca="1" si="174"/>
        <v>1263.2889965382269</v>
      </c>
      <c r="M421" s="306">
        <f t="shared" ca="1" si="190"/>
        <v>-1.2993814353782229</v>
      </c>
      <c r="N421" s="304">
        <f t="shared" ca="1" si="191"/>
        <v>-74.449072224823084</v>
      </c>
      <c r="P421" s="310">
        <f t="shared" ca="1" si="192"/>
        <v>23</v>
      </c>
      <c r="Q421" s="304">
        <f t="shared" ca="1" si="193"/>
        <v>0</v>
      </c>
      <c r="R421" s="306">
        <f t="shared" ca="1" si="194"/>
        <v>0</v>
      </c>
      <c r="S421" s="307">
        <f t="shared" ca="1" si="195"/>
        <v>7.4799999999999969</v>
      </c>
      <c r="T421" s="304">
        <f t="shared" ca="1" si="175"/>
        <v>73.37879999999997</v>
      </c>
      <c r="U421" s="311">
        <f t="shared" ca="1" si="176"/>
        <v>0</v>
      </c>
      <c r="V421" s="306">
        <f t="shared" ca="1" si="177"/>
        <v>1.0969109370762142</v>
      </c>
      <c r="W421" s="304">
        <f t="shared" ca="1" si="178"/>
        <v>18.734052456585445</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6.9859467128025736</v>
      </c>
      <c r="AH421" s="304">
        <f t="shared" ca="1" si="202"/>
        <v>-2.4553216043987485</v>
      </c>
    </row>
    <row r="422" spans="1:34" x14ac:dyDescent="0.2">
      <c r="A422" s="347">
        <f t="shared" ca="1" si="180"/>
        <v>0.1</v>
      </c>
      <c r="B422" s="304">
        <f t="shared" ca="1" si="181"/>
        <v>23.800000000000072</v>
      </c>
      <c r="D422" s="306">
        <f t="shared" ca="1" si="182"/>
        <v>-0.67145749389356024</v>
      </c>
      <c r="E422" s="307">
        <f t="shared" ca="1" si="183"/>
        <v>-7.3971328473900861</v>
      </c>
      <c r="F422" s="304">
        <f t="shared" ca="1" si="184"/>
        <v>7.4275453231901034</v>
      </c>
      <c r="G422" s="306">
        <f t="shared" ca="1" si="185"/>
        <v>19.603585228453529</v>
      </c>
      <c r="H422" s="307">
        <f t="shared" ca="1" si="186"/>
        <v>-71.426035316893177</v>
      </c>
      <c r="I422" s="304">
        <f t="shared" ca="1" si="187"/>
        <v>74.067395491534015</v>
      </c>
      <c r="J422" s="306">
        <f t="shared" ca="1" si="188"/>
        <v>617.2783649808232</v>
      </c>
      <c r="K422" s="307">
        <f t="shared" ca="1" si="189"/>
        <v>1096.2016699226424</v>
      </c>
      <c r="L422" s="304">
        <f t="shared" ca="1" si="174"/>
        <v>1258.0503491572142</v>
      </c>
      <c r="M422" s="306">
        <f t="shared" ca="1" si="190"/>
        <v>-1.3029322764755322</v>
      </c>
      <c r="N422" s="304">
        <f t="shared" ca="1" si="191"/>
        <v>-74.652520433420506</v>
      </c>
      <c r="P422" s="310">
        <f t="shared" ca="1" si="192"/>
        <v>23</v>
      </c>
      <c r="Q422" s="304">
        <f t="shared" ca="1" si="193"/>
        <v>0</v>
      </c>
      <c r="R422" s="306">
        <f t="shared" ca="1" si="194"/>
        <v>0</v>
      </c>
      <c r="S422" s="307">
        <f t="shared" ca="1" si="195"/>
        <v>7.4799999999999969</v>
      </c>
      <c r="T422" s="304">
        <f t="shared" ca="1" si="175"/>
        <v>73.37879999999997</v>
      </c>
      <c r="U422" s="311">
        <f t="shared" ca="1" si="176"/>
        <v>0</v>
      </c>
      <c r="V422" s="306">
        <f t="shared" ca="1" si="177"/>
        <v>1.0976930025920479</v>
      </c>
      <c r="W422" s="304">
        <f t="shared" ca="1" si="178"/>
        <v>19.104302759902172</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6.9463283085107363</v>
      </c>
      <c r="AH422" s="304">
        <f t="shared" ca="1" si="202"/>
        <v>-2.5045524674579482</v>
      </c>
    </row>
    <row r="423" spans="1:34" x14ac:dyDescent="0.2">
      <c r="A423" s="347">
        <f t="shared" ca="1" si="180"/>
        <v>0.1</v>
      </c>
      <c r="B423" s="304">
        <f t="shared" ca="1" si="181"/>
        <v>23.900000000000073</v>
      </c>
      <c r="D423" s="306">
        <f t="shared" ca="1" si="182"/>
        <v>-0.67598650497178214</v>
      </c>
      <c r="E423" s="307">
        <f t="shared" ca="1" si="183"/>
        <v>-7.3470303230157352</v>
      </c>
      <c r="F423" s="304">
        <f t="shared" ca="1" si="184"/>
        <v>7.3780629112400948</v>
      </c>
      <c r="G423" s="306">
        <f t="shared" ca="1" si="185"/>
        <v>19.535986577956351</v>
      </c>
      <c r="H423" s="307">
        <f t="shared" ca="1" si="186"/>
        <v>-72.160738349194745</v>
      </c>
      <c r="I423" s="304">
        <f t="shared" ca="1" si="187"/>
        <v>74.758457251838976</v>
      </c>
      <c r="J423" s="306">
        <f t="shared" ca="1" si="188"/>
        <v>619.23534357114374</v>
      </c>
      <c r="K423" s="307">
        <f t="shared" ca="1" si="189"/>
        <v>1089.022331239338</v>
      </c>
      <c r="L423" s="304">
        <f t="shared" ca="1" si="174"/>
        <v>1252.7657596955764</v>
      </c>
      <c r="M423" s="306">
        <f t="shared" ca="1" si="190"/>
        <v>-1.3064053820235852</v>
      </c>
      <c r="N423" s="304">
        <f t="shared" ca="1" si="191"/>
        <v>-74.851514723127423</v>
      </c>
      <c r="P423" s="310">
        <f t="shared" ca="1" si="192"/>
        <v>23</v>
      </c>
      <c r="Q423" s="304">
        <f t="shared" ca="1" si="193"/>
        <v>0</v>
      </c>
      <c r="R423" s="306">
        <f t="shared" ca="1" si="194"/>
        <v>0</v>
      </c>
      <c r="S423" s="307">
        <f t="shared" ca="1" si="195"/>
        <v>7.4799999999999969</v>
      </c>
      <c r="T423" s="304">
        <f t="shared" ca="1" si="175"/>
        <v>73.37879999999997</v>
      </c>
      <c r="U423" s="311">
        <f t="shared" ca="1" si="176"/>
        <v>0</v>
      </c>
      <c r="V423" s="306">
        <f t="shared" ca="1" si="177"/>
        <v>1.098483717280526</v>
      </c>
      <c r="W423" s="304">
        <f t="shared" ca="1" si="178"/>
        <v>19.476478438189087</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6.9061087522778539</v>
      </c>
      <c r="AH423" s="304">
        <f t="shared" ca="1" si="202"/>
        <v>-2.5540511711099172</v>
      </c>
    </row>
    <row r="424" spans="1:34" x14ac:dyDescent="0.2">
      <c r="A424" s="347">
        <f t="shared" ca="1" si="180"/>
        <v>0.1</v>
      </c>
      <c r="B424" s="304">
        <f t="shared" ca="1" si="181"/>
        <v>24.000000000000075</v>
      </c>
      <c r="D424" s="306">
        <f t="shared" ca="1" si="182"/>
        <v>-0.6804306282025997</v>
      </c>
      <c r="E424" s="307">
        <f t="shared" ca="1" si="183"/>
        <v>-7.2966702364594695</v>
      </c>
      <c r="F424" s="304">
        <f t="shared" ca="1" si="184"/>
        <v>7.3283273930297135</v>
      </c>
      <c r="G424" s="306">
        <f t="shared" ca="1" si="185"/>
        <v>19.467943515136092</v>
      </c>
      <c r="H424" s="307">
        <f t="shared" ca="1" si="186"/>
        <v>-72.890405372840689</v>
      </c>
      <c r="I424" s="304">
        <f t="shared" ca="1" si="187"/>
        <v>75.445424116546477</v>
      </c>
      <c r="J424" s="306">
        <f t="shared" ca="1" si="188"/>
        <v>621.18554007579837</v>
      </c>
      <c r="K424" s="307">
        <f t="shared" ca="1" si="189"/>
        <v>1081.7697740532362</v>
      </c>
      <c r="L424" s="304">
        <f t="shared" ca="1" si="174"/>
        <v>1247.4362986759888</v>
      </c>
      <c r="M424" s="306">
        <f t="shared" ca="1" si="190"/>
        <v>-1.3098032926882679</v>
      </c>
      <c r="N424" s="304">
        <f t="shared" ca="1" si="191"/>
        <v>-75.046200663376226</v>
      </c>
      <c r="P424" s="310">
        <f t="shared" ca="1" si="192"/>
        <v>23</v>
      </c>
      <c r="Q424" s="304">
        <f t="shared" ca="1" si="193"/>
        <v>0</v>
      </c>
      <c r="R424" s="306">
        <f t="shared" ca="1" si="194"/>
        <v>0</v>
      </c>
      <c r="S424" s="307">
        <f t="shared" ca="1" si="195"/>
        <v>7.4799999999999969</v>
      </c>
      <c r="T424" s="304">
        <f t="shared" ca="1" si="175"/>
        <v>73.37879999999997</v>
      </c>
      <c r="U424" s="311">
        <f t="shared" ca="1" si="176"/>
        <v>0</v>
      </c>
      <c r="V424" s="306">
        <f t="shared" ca="1" si="177"/>
        <v>1.0992830428927094</v>
      </c>
      <c r="W424" s="304">
        <f t="shared" ca="1" si="178"/>
        <v>19.850501669781288</v>
      </c>
      <c r="Y424" s="314" t="str">
        <f t="shared" ca="1" si="196"/>
        <v/>
      </c>
      <c r="Z424" s="315" t="str">
        <f t="shared" ca="1" si="197"/>
        <v/>
      </c>
      <c r="AA424" s="316" t="str">
        <f t="shared" ca="1" si="198"/>
        <v/>
      </c>
      <c r="AC424" s="310">
        <f t="shared" ca="1" si="199"/>
        <v>24.000000000000075</v>
      </c>
      <c r="AD424" s="323">
        <f t="shared" ca="1" si="200"/>
        <v>621.18554007579837</v>
      </c>
      <c r="AE424" s="324" t="e">
        <f t="shared" ca="1" si="179"/>
        <v>#N/A</v>
      </c>
      <c r="AG424" s="306">
        <f t="shared" ca="1" si="201"/>
        <v>6.8653132635516929</v>
      </c>
      <c r="AH424" s="304">
        <f t="shared" ca="1" si="202"/>
        <v>-2.6038072778327668</v>
      </c>
    </row>
    <row r="425" spans="1:34" x14ac:dyDescent="0.2">
      <c r="A425" s="347">
        <f t="shared" ca="1" si="180"/>
        <v>0.1</v>
      </c>
      <c r="B425" s="304">
        <f t="shared" ca="1" si="181"/>
        <v>24.100000000000076</v>
      </c>
      <c r="D425" s="306">
        <f t="shared" ca="1" si="182"/>
        <v>-0.6847894521631479</v>
      </c>
      <c r="E425" s="307">
        <f t="shared" ca="1" si="183"/>
        <v>-7.2460629963606902</v>
      </c>
      <c r="F425" s="304">
        <f t="shared" ca="1" si="184"/>
        <v>7.2783490944733868</v>
      </c>
      <c r="G425" s="306">
        <f t="shared" ca="1" si="185"/>
        <v>19.399464569919779</v>
      </c>
      <c r="H425" s="307">
        <f t="shared" ca="1" si="186"/>
        <v>-73.615011672476754</v>
      </c>
      <c r="I425" s="304">
        <f t="shared" ca="1" si="187"/>
        <v>76.128241600200269</v>
      </c>
      <c r="J425" s="306">
        <f t="shared" ca="1" si="188"/>
        <v>623.12891048005122</v>
      </c>
      <c r="K425" s="307">
        <f t="shared" ca="1" si="189"/>
        <v>1074.4445032009703</v>
      </c>
      <c r="L425" s="304">
        <f t="shared" ca="1" si="174"/>
        <v>1242.0630537677368</v>
      </c>
      <c r="M425" s="306">
        <f t="shared" ca="1" si="190"/>
        <v>-1.3131284422354041</v>
      </c>
      <c r="N425" s="304">
        <f t="shared" ca="1" si="191"/>
        <v>-75.236717698676969</v>
      </c>
      <c r="P425" s="310">
        <f t="shared" ca="1" si="192"/>
        <v>23</v>
      </c>
      <c r="Q425" s="304">
        <f t="shared" ca="1" si="193"/>
        <v>0</v>
      </c>
      <c r="R425" s="306">
        <f t="shared" ca="1" si="194"/>
        <v>0</v>
      </c>
      <c r="S425" s="307">
        <f t="shared" ca="1" si="195"/>
        <v>7.4799999999999969</v>
      </c>
      <c r="T425" s="304">
        <f t="shared" ca="1" si="175"/>
        <v>73.37879999999997</v>
      </c>
      <c r="U425" s="311">
        <f t="shared" ca="1" si="176"/>
        <v>0</v>
      </c>
      <c r="V425" s="306">
        <f t="shared" ca="1" si="177"/>
        <v>1.1000909409525574</v>
      </c>
      <c r="W425" s="304">
        <f t="shared" ca="1" si="178"/>
        <v>20.226294911613813</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6.823966235408645</v>
      </c>
      <c r="AH425" s="304">
        <f t="shared" ca="1" si="202"/>
        <v>-2.6538103836606011</v>
      </c>
    </row>
    <row r="426" spans="1:34" x14ac:dyDescent="0.2">
      <c r="A426" s="347">
        <f t="shared" ca="1" si="180"/>
        <v>0.1</v>
      </c>
      <c r="B426" s="304">
        <f t="shared" ca="1" si="181"/>
        <v>24.200000000000077</v>
      </c>
      <c r="D426" s="306">
        <f t="shared" ca="1" si="182"/>
        <v>-0.68906260583371159</v>
      </c>
      <c r="E426" s="307">
        <f t="shared" ca="1" si="183"/>
        <v>-7.1952189791789882</v>
      </c>
      <c r="F426" s="304">
        <f t="shared" ca="1" si="184"/>
        <v>7.2281383103186307</v>
      </c>
      <c r="G426" s="306">
        <f t="shared" ca="1" si="185"/>
        <v>19.330558309336407</v>
      </c>
      <c r="H426" s="307">
        <f t="shared" ca="1" si="186"/>
        <v>-74.334533570394655</v>
      </c>
      <c r="I426" s="304">
        <f t="shared" ca="1" si="187"/>
        <v>76.806857543313043</v>
      </c>
      <c r="J426" s="306">
        <f t="shared" ca="1" si="188"/>
        <v>625.06541162401402</v>
      </c>
      <c r="K426" s="307">
        <f t="shared" ca="1" si="189"/>
        <v>1067.0470259388267</v>
      </c>
      <c r="L426" s="304">
        <f t="shared" ca="1" si="174"/>
        <v>1236.6471300955634</v>
      </c>
      <c r="M426" s="306">
        <f t="shared" ca="1" si="190"/>
        <v>-1.3163831629059697</v>
      </c>
      <c r="N426" s="304">
        <f t="shared" ca="1" si="191"/>
        <v>-75.423199456594361</v>
      </c>
      <c r="P426" s="310">
        <f t="shared" ca="1" si="192"/>
        <v>23</v>
      </c>
      <c r="Q426" s="304">
        <f t="shared" ca="1" si="193"/>
        <v>0</v>
      </c>
      <c r="R426" s="306">
        <f t="shared" ca="1" si="194"/>
        <v>0</v>
      </c>
      <c r="S426" s="307">
        <f t="shared" ca="1" si="195"/>
        <v>7.4799999999999969</v>
      </c>
      <c r="T426" s="304">
        <f t="shared" ca="1" si="175"/>
        <v>73.37879999999997</v>
      </c>
      <c r="U426" s="311">
        <f t="shared" ca="1" si="176"/>
        <v>0</v>
      </c>
      <c r="V426" s="306">
        <f t="shared" ca="1" si="177"/>
        <v>1.1009073727641416</v>
      </c>
      <c r="W426" s="304">
        <f t="shared" ca="1" si="178"/>
        <v>20.603780926327271</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6.7820912801511692</v>
      </c>
      <c r="AH426" s="304">
        <f t="shared" ca="1" si="202"/>
        <v>-2.7040501218735056</v>
      </c>
    </row>
    <row r="427" spans="1:34" x14ac:dyDescent="0.2">
      <c r="A427" s="347">
        <f t="shared" ca="1" si="180"/>
        <v>0.1</v>
      </c>
      <c r="B427" s="304">
        <f t="shared" ca="1" si="181"/>
        <v>24.300000000000079</v>
      </c>
      <c r="D427" s="306">
        <f t="shared" ca="1" si="182"/>
        <v>-0.69324975758650165</v>
      </c>
      <c r="E427" s="307">
        <f t="shared" ca="1" si="183"/>
        <v>-7.1441485251829349</v>
      </c>
      <c r="F427" s="304">
        <f t="shared" ca="1" si="184"/>
        <v>7.1777053001824509</v>
      </c>
      <c r="G427" s="306">
        <f t="shared" ca="1" si="185"/>
        <v>19.261233333577756</v>
      </c>
      <c r="H427" s="307">
        <f t="shared" ca="1" si="186"/>
        <v>-75.048948422912943</v>
      </c>
      <c r="I427" s="304">
        <f t="shared" ca="1" si="187"/>
        <v>77.481222040669792</v>
      </c>
      <c r="J427" s="306">
        <f t="shared" ca="1" si="188"/>
        <v>626.99500120615971</v>
      </c>
      <c r="K427" s="307">
        <f t="shared" ca="1" si="189"/>
        <v>1059.5778518391612</v>
      </c>
      <c r="L427" s="304">
        <f t="shared" ca="1" si="174"/>
        <v>1231.1896505598168</v>
      </c>
      <c r="M427" s="306">
        <f t="shared" ca="1" si="190"/>
        <v>-1.3195696904824576</v>
      </c>
      <c r="N427" s="304">
        <f t="shared" ca="1" si="191"/>
        <v>-75.605774038029182</v>
      </c>
      <c r="P427" s="310">
        <f t="shared" ca="1" si="192"/>
        <v>23</v>
      </c>
      <c r="Q427" s="304">
        <f t="shared" ca="1" si="193"/>
        <v>0</v>
      </c>
      <c r="R427" s="306">
        <f t="shared" ca="1" si="194"/>
        <v>0</v>
      </c>
      <c r="S427" s="307">
        <f t="shared" ca="1" si="195"/>
        <v>7.4799999999999969</v>
      </c>
      <c r="T427" s="304">
        <f t="shared" ca="1" si="175"/>
        <v>73.37879999999997</v>
      </c>
      <c r="U427" s="311">
        <f t="shared" ca="1" si="176"/>
        <v>0</v>
      </c>
      <c r="V427" s="306">
        <f t="shared" ca="1" si="177"/>
        <v>1.1017322994188494</v>
      </c>
      <c r="W427" s="304">
        <f t="shared" ca="1" si="178"/>
        <v>20.982882808865188</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6.7397112715257181</v>
      </c>
      <c r="AH427" s="304">
        <f t="shared" ca="1" si="202"/>
        <v>-2.7545161666212943</v>
      </c>
    </row>
    <row r="428" spans="1:34" x14ac:dyDescent="0.2">
      <c r="A428" s="347">
        <f t="shared" ca="1" si="180"/>
        <v>0.1</v>
      </c>
      <c r="B428" s="304">
        <f t="shared" ca="1" si="181"/>
        <v>24.40000000000008</v>
      </c>
      <c r="D428" s="306">
        <f t="shared" ca="1" si="182"/>
        <v>-0.69735061420956423</v>
      </c>
      <c r="E428" s="307">
        <f t="shared" ca="1" si="183"/>
        <v>-7.0928619345332962</v>
      </c>
      <c r="F428" s="304">
        <f t="shared" ca="1" si="184"/>
        <v>7.1270602846818871</v>
      </c>
      <c r="G428" s="306">
        <f t="shared" ca="1" si="185"/>
        <v>19.191498272156799</v>
      </c>
      <c r="H428" s="307">
        <f t="shared" ca="1" si="186"/>
        <v>-75.758234616366266</v>
      </c>
      <c r="I428" s="304">
        <f t="shared" ca="1" si="187"/>
        <v>78.151287373392606</v>
      </c>
      <c r="J428" s="306">
        <f t="shared" ca="1" si="188"/>
        <v>628.91763778644645</v>
      </c>
      <c r="K428" s="307">
        <f t="shared" ca="1" si="189"/>
        <v>1052.0374926871973</v>
      </c>
      <c r="L428" s="304">
        <f t="shared" ca="1" si="174"/>
        <v>1225.691756168103</v>
      </c>
      <c r="M428" s="306">
        <f t="shared" ca="1" si="190"/>
        <v>-1.3226901690659514</v>
      </c>
      <c r="N428" s="304">
        <f t="shared" ca="1" si="191"/>
        <v>-75.784564290924337</v>
      </c>
      <c r="P428" s="310">
        <f t="shared" ca="1" si="192"/>
        <v>23</v>
      </c>
      <c r="Q428" s="304">
        <f t="shared" ca="1" si="193"/>
        <v>0</v>
      </c>
      <c r="R428" s="306">
        <f t="shared" ca="1" si="194"/>
        <v>0</v>
      </c>
      <c r="S428" s="307">
        <f t="shared" ca="1" si="195"/>
        <v>7.4799999999999969</v>
      </c>
      <c r="T428" s="304">
        <f t="shared" ca="1" si="175"/>
        <v>73.37879999999997</v>
      </c>
      <c r="U428" s="311">
        <f t="shared" ca="1" si="176"/>
        <v>0</v>
      </c>
      <c r="V428" s="306">
        <f t="shared" ca="1" si="177"/>
        <v>1.1025656818025826</v>
      </c>
      <c r="W428" s="304">
        <f t="shared" ca="1" si="178"/>
        <v>21.36352401255116</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6.6968483838273514</v>
      </c>
      <c r="AH428" s="304">
        <f t="shared" ca="1" si="202"/>
        <v>-2.8051982364793044</v>
      </c>
    </row>
    <row r="429" spans="1:34" x14ac:dyDescent="0.2">
      <c r="A429" s="347">
        <f t="shared" ca="1" si="180"/>
        <v>0.1</v>
      </c>
      <c r="B429" s="304">
        <f t="shared" ca="1" si="181"/>
        <v>24.500000000000082</v>
      </c>
      <c r="D429" s="306">
        <f t="shared" ca="1" si="182"/>
        <v>-0.70136491996298667</v>
      </c>
      <c r="E429" s="307">
        <f t="shared" ca="1" si="183"/>
        <v>-7.0413694634601613</v>
      </c>
      <c r="F429" s="304">
        <f t="shared" ca="1" si="184"/>
        <v>7.0762134416581821</v>
      </c>
      <c r="G429" s="306">
        <f t="shared" ca="1" si="185"/>
        <v>19.121361780160502</v>
      </c>
      <c r="H429" s="307">
        <f t="shared" ca="1" si="186"/>
        <v>-76.462371562712278</v>
      </c>
      <c r="I429" s="304">
        <f t="shared" ca="1" si="187"/>
        <v>78.817007944491621</v>
      </c>
      <c r="J429" s="306">
        <f t="shared" ca="1" si="188"/>
        <v>630.83328078906231</v>
      </c>
      <c r="K429" s="307">
        <f t="shared" ca="1" si="189"/>
        <v>1044.4264623782433</v>
      </c>
      <c r="L429" s="304">
        <f t="shared" ca="1" si="174"/>
        <v>1220.1546063786441</v>
      </c>
      <c r="M429" s="306">
        <f t="shared" ca="1" si="190"/>
        <v>-1.3257466555821356</v>
      </c>
      <c r="N429" s="304">
        <f t="shared" ca="1" si="191"/>
        <v>-75.959688068440329</v>
      </c>
      <c r="P429" s="310">
        <f t="shared" ca="1" si="192"/>
        <v>23</v>
      </c>
      <c r="Q429" s="304">
        <f t="shared" ca="1" si="193"/>
        <v>0</v>
      </c>
      <c r="R429" s="306">
        <f t="shared" ca="1" si="194"/>
        <v>0</v>
      </c>
      <c r="S429" s="307">
        <f t="shared" ca="1" si="195"/>
        <v>7.4799999999999969</v>
      </c>
      <c r="T429" s="304">
        <f t="shared" ca="1" si="175"/>
        <v>73.37879999999997</v>
      </c>
      <c r="U429" s="311">
        <f t="shared" ca="1" si="176"/>
        <v>0</v>
      </c>
      <c r="V429" s="306">
        <f t="shared" ca="1" si="177"/>
        <v>1.1034074806029415</v>
      </c>
      <c r="W429" s="304">
        <f t="shared" ca="1" si="178"/>
        <v>21.745628374634748</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6.6535241281353983</v>
      </c>
      <c r="AH429" s="304">
        <f t="shared" ca="1" si="202"/>
        <v>-2.8560860979346483</v>
      </c>
    </row>
    <row r="430" spans="1:34" x14ac:dyDescent="0.2">
      <c r="A430" s="347">
        <f t="shared" ca="1" si="180"/>
        <v>0.1</v>
      </c>
      <c r="B430" s="304">
        <f t="shared" ca="1" si="181"/>
        <v>24.600000000000083</v>
      </c>
      <c r="D430" s="306">
        <f t="shared" ca="1" si="182"/>
        <v>-0.70529245566483789</v>
      </c>
      <c r="E430" s="307">
        <f t="shared" ca="1" si="183"/>
        <v>-6.9896813205335464</v>
      </c>
      <c r="F430" s="304">
        <f t="shared" ca="1" si="184"/>
        <v>7.0251749024941228</v>
      </c>
      <c r="G430" s="306">
        <f t="shared" ca="1" si="185"/>
        <v>19.050832534594019</v>
      </c>
      <c r="H430" s="307">
        <f t="shared" ca="1" si="186"/>
        <v>-77.16133969476563</v>
      </c>
      <c r="I430" s="304">
        <f t="shared" ca="1" si="187"/>
        <v>79.478340217647727</v>
      </c>
      <c r="J430" s="306">
        <f t="shared" ca="1" si="188"/>
        <v>632.74189050480004</v>
      </c>
      <c r="K430" s="307">
        <f t="shared" ca="1" si="189"/>
        <v>1036.7452768153694</v>
      </c>
      <c r="L430" s="304">
        <f t="shared" ca="1" si="174"/>
        <v>1214.5793794555238</v>
      </c>
      <c r="M430" s="306">
        <f t="shared" ca="1" si="190"/>
        <v>-1.3287411240332554</v>
      </c>
      <c r="N430" s="304">
        <f t="shared" ca="1" si="191"/>
        <v>-76.131258472574572</v>
      </c>
      <c r="P430" s="310">
        <f t="shared" ca="1" si="192"/>
        <v>23</v>
      </c>
      <c r="Q430" s="304">
        <f t="shared" ca="1" si="193"/>
        <v>0</v>
      </c>
      <c r="R430" s="306">
        <f t="shared" ca="1" si="194"/>
        <v>0</v>
      </c>
      <c r="S430" s="307">
        <f t="shared" ca="1" si="195"/>
        <v>7.4799999999999969</v>
      </c>
      <c r="T430" s="304">
        <f t="shared" ca="1" si="175"/>
        <v>73.37879999999997</v>
      </c>
      <c r="U430" s="311">
        <f t="shared" ca="1" si="176"/>
        <v>0</v>
      </c>
      <c r="V430" s="306">
        <f t="shared" ca="1" si="177"/>
        <v>1.1042576563163968</v>
      </c>
      <c r="W430" s="304">
        <f t="shared" ca="1" si="178"/>
        <v>22.129120141295484</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6.6097593859043382</v>
      </c>
      <c r="AH430" s="304">
        <f t="shared" ca="1" si="202"/>
        <v>-2.9071695688014381</v>
      </c>
    </row>
    <row r="431" spans="1:34" x14ac:dyDescent="0.2">
      <c r="A431" s="347">
        <f t="shared" ca="1" si="180"/>
        <v>0.1</v>
      </c>
      <c r="B431" s="304">
        <f t="shared" ca="1" si="181"/>
        <v>24.700000000000085</v>
      </c>
      <c r="D431" s="306">
        <f t="shared" ca="1" si="182"/>
        <v>-0.70913303780449177</v>
      </c>
      <c r="E431" s="307">
        <f t="shared" ca="1" si="183"/>
        <v>-6.9378076630271774</v>
      </c>
      <c r="F431" s="304">
        <f t="shared" ca="1" si="184"/>
        <v>6.973954748524287</v>
      </c>
      <c r="G431" s="306">
        <f t="shared" ca="1" si="185"/>
        <v>18.979919230813568</v>
      </c>
      <c r="H431" s="307">
        <f t="shared" ca="1" si="186"/>
        <v>-77.855120461068353</v>
      </c>
      <c r="I431" s="304">
        <f t="shared" ca="1" si="187"/>
        <v>80.135242658992865</v>
      </c>
      <c r="J431" s="306">
        <f t="shared" ca="1" si="188"/>
        <v>634.64342809307038</v>
      </c>
      <c r="K431" s="307">
        <f t="shared" ca="1" si="189"/>
        <v>1028.9944538075777</v>
      </c>
      <c r="L431" s="304">
        <f t="shared" ca="1" si="174"/>
        <v>1208.9672728359851</v>
      </c>
      <c r="M431" s="306">
        <f t="shared" ca="1" si="190"/>
        <v>-1.3316754695118935</v>
      </c>
      <c r="N431" s="304">
        <f t="shared" ca="1" si="191"/>
        <v>-76.299384084133834</v>
      </c>
      <c r="P431" s="310">
        <f t="shared" ca="1" si="192"/>
        <v>23</v>
      </c>
      <c r="Q431" s="304">
        <f t="shared" ca="1" si="193"/>
        <v>0</v>
      </c>
      <c r="R431" s="306">
        <f t="shared" ca="1" si="194"/>
        <v>0</v>
      </c>
      <c r="S431" s="307">
        <f t="shared" ca="1" si="195"/>
        <v>7.4799999999999969</v>
      </c>
      <c r="T431" s="304">
        <f t="shared" ca="1" si="175"/>
        <v>73.37879999999997</v>
      </c>
      <c r="U431" s="311">
        <f t="shared" ca="1" si="176"/>
        <v>0</v>
      </c>
      <c r="V431" s="306">
        <f t="shared" ca="1" si="177"/>
        <v>1.1051161692554399</v>
      </c>
      <c r="W431" s="304">
        <f t="shared" ca="1" si="178"/>
        <v>22.513923992095208</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6.5655744401159399</v>
      </c>
      <c r="AH431" s="304">
        <f t="shared" ca="1" si="202"/>
        <v>-2.9584385215635685</v>
      </c>
    </row>
    <row r="432" spans="1:34" x14ac:dyDescent="0.2">
      <c r="A432" s="347">
        <f t="shared" ca="1" si="180"/>
        <v>0.1</v>
      </c>
      <c r="B432" s="304">
        <f t="shared" ca="1" si="181"/>
        <v>24.800000000000086</v>
      </c>
      <c r="D432" s="306">
        <f t="shared" ca="1" si="182"/>
        <v>-0.71288651768118627</v>
      </c>
      <c r="E432" s="307">
        <f t="shared" ca="1" si="183"/>
        <v>-6.8857585933751508</v>
      </c>
      <c r="F432" s="304">
        <f t="shared" ca="1" si="184"/>
        <v>6.9225630075378399</v>
      </c>
      <c r="G432" s="306">
        <f t="shared" ca="1" si="185"/>
        <v>18.90863057904545</v>
      </c>
      <c r="H432" s="307">
        <f t="shared" ca="1" si="186"/>
        <v>-78.543696320405871</v>
      </c>
      <c r="I432" s="304">
        <f t="shared" ca="1" si="187"/>
        <v>80.787675681671587</v>
      </c>
      <c r="J432" s="306">
        <f t="shared" ca="1" si="188"/>
        <v>636.53785558356333</v>
      </c>
      <c r="K432" s="307">
        <f t="shared" ca="1" si="189"/>
        <v>1021.1745129685039</v>
      </c>
      <c r="L432" s="304">
        <f t="shared" ca="1" si="174"/>
        <v>1203.3195035099291</v>
      </c>
      <c r="M432" s="306">
        <f t="shared" ca="1" si="190"/>
        <v>-1.334551511991372</v>
      </c>
      <c r="N432" s="304">
        <f t="shared" ca="1" si="191"/>
        <v>-76.464169179908296</v>
      </c>
      <c r="P432" s="310">
        <f t="shared" ca="1" si="192"/>
        <v>23</v>
      </c>
      <c r="Q432" s="304">
        <f t="shared" ca="1" si="193"/>
        <v>0</v>
      </c>
      <c r="R432" s="306">
        <f t="shared" ca="1" si="194"/>
        <v>0</v>
      </c>
      <c r="S432" s="307">
        <f t="shared" ca="1" si="195"/>
        <v>7.4799999999999969</v>
      </c>
      <c r="T432" s="304">
        <f t="shared" ca="1" si="175"/>
        <v>73.37879999999997</v>
      </c>
      <c r="U432" s="311">
        <f t="shared" ca="1" si="176"/>
        <v>0</v>
      </c>
      <c r="V432" s="306">
        <f t="shared" ca="1" si="177"/>
        <v>1.1059829795557161</v>
      </c>
      <c r="W432" s="304">
        <f t="shared" ca="1" si="178"/>
        <v>22.899965063869647</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6.5209890041818142</v>
      </c>
      <c r="AH432" s="304">
        <f t="shared" ca="1" si="202"/>
        <v>-3.0098828866437457</v>
      </c>
    </row>
    <row r="433" spans="1:34" x14ac:dyDescent="0.2">
      <c r="A433" s="347">
        <f t="shared" ca="1" si="180"/>
        <v>0.1</v>
      </c>
      <c r="B433" s="304">
        <f t="shared" ca="1" si="181"/>
        <v>24.900000000000087</v>
      </c>
      <c r="D433" s="306">
        <f t="shared" ca="1" si="182"/>
        <v>-0.71655278056586202</v>
      </c>
      <c r="E433" s="307">
        <f t="shared" ca="1" si="183"/>
        <v>-6.8335441557212624</v>
      </c>
      <c r="F433" s="304">
        <f t="shared" ca="1" si="184"/>
        <v>6.8710096503737272</v>
      </c>
      <c r="G433" s="306">
        <f t="shared" ca="1" si="185"/>
        <v>18.836975300988865</v>
      </c>
      <c r="H433" s="307">
        <f t="shared" ca="1" si="186"/>
        <v>-79.227050735977997</v>
      </c>
      <c r="I433" s="304">
        <f t="shared" ca="1" si="187"/>
        <v>81.435601592984483</v>
      </c>
      <c r="J433" s="306">
        <f t="shared" ca="1" si="188"/>
        <v>638.42513587756503</v>
      </c>
      <c r="K433" s="307">
        <f t="shared" ca="1" si="189"/>
        <v>1013.2859756156847</v>
      </c>
      <c r="L433" s="304">
        <f t="shared" ca="1" si="174"/>
        <v>1197.6373084117402</v>
      </c>
      <c r="M433" s="306">
        <f t="shared" ca="1" si="190"/>
        <v>-1.337370999906593</v>
      </c>
      <c r="N433" s="304">
        <f t="shared" ca="1" si="191"/>
        <v>-76.625713937838597</v>
      </c>
      <c r="P433" s="310">
        <f t="shared" ca="1" si="192"/>
        <v>23</v>
      </c>
      <c r="Q433" s="304">
        <f t="shared" ca="1" si="193"/>
        <v>0</v>
      </c>
      <c r="R433" s="306">
        <f t="shared" ca="1" si="194"/>
        <v>0</v>
      </c>
      <c r="S433" s="307">
        <f t="shared" ca="1" si="195"/>
        <v>7.4799999999999969</v>
      </c>
      <c r="T433" s="304">
        <f t="shared" ca="1" si="175"/>
        <v>73.37879999999997</v>
      </c>
      <c r="U433" s="311">
        <f t="shared" ca="1" si="176"/>
        <v>0</v>
      </c>
      <c r="V433" s="306">
        <f t="shared" ca="1" si="177"/>
        <v>1.1068580471831377</v>
      </c>
      <c r="W433" s="304">
        <f t="shared" ca="1" si="178"/>
        <v>23.287168974050935</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6.4760222487703363</v>
      </c>
      <c r="AH433" s="304">
        <f t="shared" ca="1" si="202"/>
        <v>-3.0614926555975477</v>
      </c>
    </row>
    <row r="434" spans="1:34" x14ac:dyDescent="0.2">
      <c r="A434" s="347">
        <f t="shared" ca="1" si="180"/>
        <v>0.1</v>
      </c>
      <c r="B434" s="304">
        <f t="shared" ca="1" si="181"/>
        <v>25.000000000000089</v>
      </c>
      <c r="D434" s="306">
        <f t="shared" ca="1" si="182"/>
        <v>-0.72013174488451315</v>
      </c>
      <c r="E434" s="307">
        <f t="shared" ca="1" si="183"/>
        <v>-6.7811743325607825</v>
      </c>
      <c r="F434" s="304">
        <f t="shared" ca="1" si="184"/>
        <v>6.8193045876080056</v>
      </c>
      <c r="G434" s="306">
        <f t="shared" ca="1" si="185"/>
        <v>18.764962126500414</v>
      </c>
      <c r="H434" s="307">
        <f t="shared" ca="1" si="186"/>
        <v>-79.905168169234074</v>
      </c>
      <c r="I434" s="304">
        <f t="shared" ca="1" si="187"/>
        <v>82.078984543929238</v>
      </c>
      <c r="J434" s="306">
        <f t="shared" ca="1" si="188"/>
        <v>640.30523274893949</v>
      </c>
      <c r="K434" s="307">
        <f t="shared" ca="1" si="189"/>
        <v>1005.3293646704241</v>
      </c>
      <c r="L434" s="304">
        <f t="shared" ca="1" si="174"/>
        <v>1191.9219448245392</v>
      </c>
      <c r="M434" s="306">
        <f t="shared" ca="1" si="190"/>
        <v>-1.3401356135382172</v>
      </c>
      <c r="N434" s="304">
        <f t="shared" ca="1" si="191"/>
        <v>-76.784114630914999</v>
      </c>
      <c r="P434" s="310">
        <f t="shared" ca="1" si="192"/>
        <v>23</v>
      </c>
      <c r="Q434" s="304">
        <f t="shared" ca="1" si="193"/>
        <v>0</v>
      </c>
      <c r="R434" s="306">
        <f t="shared" ca="1" si="194"/>
        <v>0</v>
      </c>
      <c r="S434" s="307">
        <f t="shared" ca="1" si="195"/>
        <v>7.4799999999999969</v>
      </c>
      <c r="T434" s="304">
        <f t="shared" ca="1" si="175"/>
        <v>73.37879999999997</v>
      </c>
      <c r="U434" s="311">
        <f t="shared" ca="1" si="176"/>
        <v>0</v>
      </c>
      <c r="V434" s="306">
        <f t="shared" ca="1" si="177"/>
        <v>1.1077413319409677</v>
      </c>
      <c r="W434" s="304">
        <f t="shared" ca="1" si="178"/>
        <v>23.675461843413114</v>
      </c>
      <c r="Y434" s="314" t="str">
        <f t="shared" ca="1" si="196"/>
        <v/>
      </c>
      <c r="Z434" s="315" t="str">
        <f t="shared" ca="1" si="197"/>
        <v/>
      </c>
      <c r="AA434" s="316" t="str">
        <f t="shared" ca="1" si="198"/>
        <v/>
      </c>
      <c r="AC434" s="310">
        <f t="shared" ca="1" si="199"/>
        <v>25.000000000000089</v>
      </c>
      <c r="AD434" s="323">
        <f t="shared" ca="1" si="200"/>
        <v>640.30523274893949</v>
      </c>
      <c r="AE434" s="324" t="e">
        <f t="shared" ca="1" si="179"/>
        <v>#N/A</v>
      </c>
      <c r="AG434" s="306">
        <f t="shared" ca="1" si="201"/>
        <v>6.4306928267178405</v>
      </c>
      <c r="AH434" s="304">
        <f t="shared" ca="1" si="202"/>
        <v>-3.1132578842314098</v>
      </c>
    </row>
    <row r="435" spans="1:34" x14ac:dyDescent="0.2">
      <c r="A435" s="347">
        <f t="shared" ca="1" si="180"/>
        <v>0.1</v>
      </c>
      <c r="B435" s="304">
        <f t="shared" ca="1" si="181"/>
        <v>25.10000000000009</v>
      </c>
      <c r="D435" s="306">
        <f t="shared" ca="1" si="182"/>
        <v>-0.72362336142141392</v>
      </c>
      <c r="E435" s="307">
        <f t="shared" ca="1" si="183"/>
        <v>-6.7286590414745513</v>
      </c>
      <c r="F435" s="304">
        <f t="shared" ca="1" si="184"/>
        <v>6.7674576663332031</v>
      </c>
      <c r="G435" s="306">
        <f t="shared" ca="1" si="185"/>
        <v>18.692599790358273</v>
      </c>
      <c r="H435" s="307">
        <f t="shared" ca="1" si="186"/>
        <v>-80.578034073381531</v>
      </c>
      <c r="I435" s="304">
        <f t="shared" ca="1" si="187"/>
        <v>82.717790480969313</v>
      </c>
      <c r="J435" s="306">
        <f t="shared" ca="1" si="188"/>
        <v>642.1781108447824</v>
      </c>
      <c r="K435" s="307">
        <f t="shared" ca="1" si="189"/>
        <v>997.30520455829333</v>
      </c>
      <c r="L435" s="304">
        <f t="shared" ca="1" si="174"/>
        <v>1186.1746907969471</v>
      </c>
      <c r="M435" s="306">
        <f t="shared" ca="1" si="190"/>
        <v>-1.3428469682122153</v>
      </c>
      <c r="N435" s="304">
        <f t="shared" ca="1" si="191"/>
        <v>-76.939463810498154</v>
      </c>
      <c r="P435" s="310">
        <f t="shared" ca="1" si="192"/>
        <v>23</v>
      </c>
      <c r="Q435" s="304">
        <f t="shared" ca="1" si="193"/>
        <v>0</v>
      </c>
      <c r="R435" s="306">
        <f t="shared" ca="1" si="194"/>
        <v>0</v>
      </c>
      <c r="S435" s="307">
        <f t="shared" ca="1" si="195"/>
        <v>7.4799999999999969</v>
      </c>
      <c r="T435" s="304">
        <f t="shared" ca="1" si="175"/>
        <v>73.37879999999997</v>
      </c>
      <c r="U435" s="311">
        <f t="shared" ca="1" si="176"/>
        <v>0</v>
      </c>
      <c r="V435" s="306">
        <f t="shared" ca="1" si="177"/>
        <v>1.1086327934768803</v>
      </c>
      <c r="W435" s="304">
        <f t="shared" ca="1" si="178"/>
        <v>24.064770318233801</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6.3850188961712675</v>
      </c>
      <c r="AH435" s="304">
        <f t="shared" ca="1" si="202"/>
        <v>-3.1651686956434659</v>
      </c>
    </row>
    <row r="436" spans="1:34" x14ac:dyDescent="0.2">
      <c r="A436" s="347">
        <f t="shared" ca="1" si="180"/>
        <v>0.1</v>
      </c>
      <c r="B436" s="304">
        <f t="shared" ca="1" si="181"/>
        <v>25.200000000000092</v>
      </c>
      <c r="D436" s="306">
        <f t="shared" ca="1" si="182"/>
        <v>-0.72702761254076564</v>
      </c>
      <c r="E436" s="307">
        <f t="shared" ca="1" si="183"/>
        <v>-6.6760081319551858</v>
      </c>
      <c r="F436" s="304">
        <f t="shared" ca="1" si="184"/>
        <v>6.7154786670295135</v>
      </c>
      <c r="G436" s="306">
        <f t="shared" ca="1" si="185"/>
        <v>18.619897029104195</v>
      </c>
      <c r="H436" s="307">
        <f t="shared" ca="1" si="186"/>
        <v>-81.245634886577051</v>
      </c>
      <c r="I436" s="304">
        <f t="shared" ca="1" si="187"/>
        <v>83.351987099873199</v>
      </c>
      <c r="J436" s="306">
        <f t="shared" ca="1" si="188"/>
        <v>644.04373568575556</v>
      </c>
      <c r="K436" s="307">
        <f t="shared" ca="1" si="189"/>
        <v>989.21402111029545</v>
      </c>
      <c r="L436" s="304">
        <f t="shared" ca="1" si="174"/>
        <v>1180.3968455723962</v>
      </c>
      <c r="M436" s="306">
        <f t="shared" ca="1" si="190"/>
        <v>-1.3455066173260399</v>
      </c>
      <c r="N436" s="304">
        <f t="shared" ca="1" si="191"/>
        <v>-77.091850479706011</v>
      </c>
      <c r="P436" s="310">
        <f t="shared" ca="1" si="192"/>
        <v>23</v>
      </c>
      <c r="Q436" s="304">
        <f t="shared" ca="1" si="193"/>
        <v>0</v>
      </c>
      <c r="R436" s="306">
        <f t="shared" ca="1" si="194"/>
        <v>0</v>
      </c>
      <c r="S436" s="307">
        <f t="shared" ca="1" si="195"/>
        <v>7.4799999999999969</v>
      </c>
      <c r="T436" s="304">
        <f t="shared" ca="1" si="175"/>
        <v>73.37879999999997</v>
      </c>
      <c r="U436" s="311">
        <f t="shared" ca="1" si="176"/>
        <v>0</v>
      </c>
      <c r="V436" s="306">
        <f t="shared" ca="1" si="177"/>
        <v>1.1095323912899899</v>
      </c>
      <c r="W436" s="304">
        <f t="shared" ca="1" si="178"/>
        <v>24.455021591865446</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6.3390181420976059</v>
      </c>
      <c r="AH436" s="304">
        <f t="shared" ca="1" si="202"/>
        <v>-3.2172152831863383</v>
      </c>
    </row>
    <row r="437" spans="1:34" x14ac:dyDescent="0.2">
      <c r="A437" s="347">
        <f t="shared" ca="1" si="180"/>
        <v>0.1</v>
      </c>
      <c r="B437" s="304">
        <f t="shared" ca="1" si="181"/>
        <v>25.300000000000093</v>
      </c>
      <c r="D437" s="306">
        <f t="shared" ca="1" si="182"/>
        <v>-0.7303445114254028</v>
      </c>
      <c r="E437" s="307">
        <f t="shared" ca="1" si="183"/>
        <v>-6.623231382325292</v>
      </c>
      <c r="F437" s="304">
        <f t="shared" ca="1" si="184"/>
        <v>6.6633773005276993</v>
      </c>
      <c r="G437" s="306">
        <f t="shared" ca="1" si="185"/>
        <v>18.546862577961654</v>
      </c>
      <c r="H437" s="307">
        <f t="shared" ca="1" si="186"/>
        <v>-81.907958024809574</v>
      </c>
      <c r="I437" s="304">
        <f t="shared" ca="1" si="187"/>
        <v>83.981543801479148</v>
      </c>
      <c r="J437" s="306">
        <f t="shared" ca="1" si="188"/>
        <v>645.90207366610889</v>
      </c>
      <c r="K437" s="307">
        <f t="shared" ca="1" si="189"/>
        <v>981.05634146472607</v>
      </c>
      <c r="L437" s="304">
        <f t="shared" ca="1" si="174"/>
        <v>1174.5897300310151</v>
      </c>
      <c r="M437" s="306">
        <f t="shared" ca="1" si="190"/>
        <v>-1.3481160552119102</v>
      </c>
      <c r="N437" s="304">
        <f t="shared" ca="1" si="191"/>
        <v>-77.241360257467932</v>
      </c>
      <c r="P437" s="310">
        <f t="shared" ca="1" si="192"/>
        <v>23</v>
      </c>
      <c r="Q437" s="304">
        <f t="shared" ca="1" si="193"/>
        <v>0</v>
      </c>
      <c r="R437" s="306">
        <f t="shared" ca="1" si="194"/>
        <v>0</v>
      </c>
      <c r="S437" s="307">
        <f t="shared" ca="1" si="195"/>
        <v>7.4799999999999969</v>
      </c>
      <c r="T437" s="304">
        <f t="shared" ca="1" si="175"/>
        <v>73.37879999999997</v>
      </c>
      <c r="U437" s="311">
        <f t="shared" ca="1" si="176"/>
        <v>0</v>
      </c>
      <c r="V437" s="306">
        <f t="shared" ca="1" si="177"/>
        <v>1.1104400847378508</v>
      </c>
      <c r="W437" s="304">
        <f t="shared" ca="1" si="178"/>
        <v>24.846143425710579</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6.2927077962848603</v>
      </c>
      <c r="AH437" s="304">
        <f t="shared" ca="1" si="202"/>
        <v>-3.2693879133509967</v>
      </c>
    </row>
    <row r="438" spans="1:34" x14ac:dyDescent="0.2">
      <c r="A438" s="347">
        <f t="shared" ca="1" si="180"/>
        <v>0.1</v>
      </c>
      <c r="B438" s="304">
        <f t="shared" ca="1" si="181"/>
        <v>25.400000000000095</v>
      </c>
      <c r="D438" s="306">
        <f t="shared" ca="1" si="182"/>
        <v>-0.73357410133136636</v>
      </c>
      <c r="E438" s="307">
        <f t="shared" ca="1" si="183"/>
        <v>-6.5703384967474907</v>
      </c>
      <c r="F438" s="304">
        <f t="shared" ca="1" si="184"/>
        <v>6.611163205063554</v>
      </c>
      <c r="G438" s="306">
        <f t="shared" ca="1" si="185"/>
        <v>18.473505167828517</v>
      </c>
      <c r="H438" s="307">
        <f t="shared" ca="1" si="186"/>
        <v>-82.564991874484321</v>
      </c>
      <c r="I438" s="304">
        <f t="shared" ca="1" si="187"/>
        <v>84.606431649251391</v>
      </c>
      <c r="J438" s="306">
        <f t="shared" ca="1" si="188"/>
        <v>647.7530920533984</v>
      </c>
      <c r="K438" s="307">
        <f t="shared" ca="1" si="189"/>
        <v>972.83269396976141</v>
      </c>
      <c r="L438" s="304">
        <f t="shared" ca="1" si="174"/>
        <v>1168.7546871440568</v>
      </c>
      <c r="M438" s="306">
        <f t="shared" ca="1" si="190"/>
        <v>-1.3506767198470238</v>
      </c>
      <c r="N438" s="304">
        <f t="shared" ca="1" si="191"/>
        <v>-77.388075533808333</v>
      </c>
      <c r="P438" s="310">
        <f t="shared" ca="1" si="192"/>
        <v>23</v>
      </c>
      <c r="Q438" s="304">
        <f t="shared" ca="1" si="193"/>
        <v>0</v>
      </c>
      <c r="R438" s="306">
        <f t="shared" ca="1" si="194"/>
        <v>0</v>
      </c>
      <c r="S438" s="307">
        <f t="shared" ca="1" si="195"/>
        <v>7.4799999999999969</v>
      </c>
      <c r="T438" s="304">
        <f t="shared" ca="1" si="175"/>
        <v>73.37879999999997</v>
      </c>
      <c r="U438" s="311">
        <f t="shared" ca="1" si="176"/>
        <v>0</v>
      </c>
      <c r="V438" s="306">
        <f t="shared" ca="1" si="177"/>
        <v>1.1113558330434203</v>
      </c>
      <c r="W438" s="304">
        <f t="shared" ca="1" si="178"/>
        <v>25.238064169595816</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6.2461046559494235</v>
      </c>
      <c r="AH438" s="304">
        <f t="shared" ca="1" si="202"/>
        <v>-3.3216769285709344</v>
      </c>
    </row>
    <row r="439" spans="1:34" x14ac:dyDescent="0.2">
      <c r="A439" s="347">
        <f t="shared" ca="1" si="180"/>
        <v>0.1</v>
      </c>
      <c r="B439" s="304">
        <f t="shared" ca="1" si="181"/>
        <v>25.500000000000096</v>
      </c>
      <c r="D439" s="306">
        <f t="shared" ca="1" si="182"/>
        <v>-0.73671645485721982</v>
      </c>
      <c r="E439" s="307">
        <f t="shared" ca="1" si="183"/>
        <v>-6.5173391023261225</v>
      </c>
      <c r="F439" s="304">
        <f t="shared" ca="1" si="184"/>
        <v>6.5588459434237709</v>
      </c>
      <c r="G439" s="306">
        <f t="shared" ca="1" si="185"/>
        <v>18.399833522342796</v>
      </c>
      <c r="H439" s="307">
        <f t="shared" ca="1" si="186"/>
        <v>-83.216725784716928</v>
      </c>
      <c r="I439" s="304">
        <f t="shared" ca="1" si="187"/>
        <v>85.22662332850399</v>
      </c>
      <c r="J439" s="306">
        <f t="shared" ca="1" si="188"/>
        <v>649.59675898790692</v>
      </c>
      <c r="K439" s="307">
        <f t="shared" ca="1" si="189"/>
        <v>964.54360808680133</v>
      </c>
      <c r="L439" s="304">
        <f t="shared" ca="1" si="174"/>
        <v>1162.8930824408139</v>
      </c>
      <c r="M439" s="306">
        <f t="shared" ca="1" si="190"/>
        <v>-1.3531899954198581</v>
      </c>
      <c r="N439" s="304">
        <f t="shared" ca="1" si="191"/>
        <v>-77.532075616885066</v>
      </c>
      <c r="P439" s="310">
        <f t="shared" ca="1" si="192"/>
        <v>23</v>
      </c>
      <c r="Q439" s="304">
        <f t="shared" ca="1" si="193"/>
        <v>0</v>
      </c>
      <c r="R439" s="306">
        <f t="shared" ca="1" si="194"/>
        <v>0</v>
      </c>
      <c r="S439" s="307">
        <f t="shared" ca="1" si="195"/>
        <v>7.4799999999999969</v>
      </c>
      <c r="T439" s="304">
        <f t="shared" ca="1" si="175"/>
        <v>73.37879999999997</v>
      </c>
      <c r="U439" s="311">
        <f t="shared" ca="1" si="176"/>
        <v>0</v>
      </c>
      <c r="V439" s="306">
        <f t="shared" ca="1" si="177"/>
        <v>1.1122795953019882</v>
      </c>
      <c r="W439" s="304">
        <f t="shared" ca="1" si="178"/>
        <v>25.630712781540396</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6.1992251010556227</v>
      </c>
      <c r="AH439" s="304">
        <f t="shared" ca="1" si="202"/>
        <v>-3.3740727499459662</v>
      </c>
    </row>
    <row r="440" spans="1:34" x14ac:dyDescent="0.2">
      <c r="A440" s="347">
        <f t="shared" ca="1" si="180"/>
        <v>0.1</v>
      </c>
      <c r="B440" s="304">
        <f t="shared" ca="1" si="181"/>
        <v>25.600000000000097</v>
      </c>
      <c r="D440" s="306">
        <f t="shared" ca="1" si="182"/>
        <v>-0.739771673227128</v>
      </c>
      <c r="E440" s="307">
        <f t="shared" ca="1" si="183"/>
        <v>-6.4642427463004211</v>
      </c>
      <c r="F440" s="304">
        <f t="shared" ca="1" si="184"/>
        <v>6.50643500018304</v>
      </c>
      <c r="G440" s="306">
        <f t="shared" ca="1" si="185"/>
        <v>18.325856355020083</v>
      </c>
      <c r="H440" s="307">
        <f t="shared" ca="1" si="186"/>
        <v>-83.863150059346964</v>
      </c>
      <c r="I440" s="304">
        <f t="shared" ca="1" si="187"/>
        <v>85.84209310717776</v>
      </c>
      <c r="J440" s="306">
        <f t="shared" ca="1" si="188"/>
        <v>651.43304348177503</v>
      </c>
      <c r="K440" s="307">
        <f t="shared" ca="1" si="189"/>
        <v>956.18961429459819</v>
      </c>
      <c r="L440" s="304">
        <f t="shared" ca="1" si="174"/>
        <v>1157.0063044879143</v>
      </c>
      <c r="M440" s="306">
        <f t="shared" ca="1" si="190"/>
        <v>-1.3556572147611328</v>
      </c>
      <c r="N440" s="304">
        <f t="shared" ca="1" si="191"/>
        <v>-77.673436872273157</v>
      </c>
      <c r="P440" s="310">
        <f t="shared" ca="1" si="192"/>
        <v>23</v>
      </c>
      <c r="Q440" s="304">
        <f t="shared" ca="1" si="193"/>
        <v>0</v>
      </c>
      <c r="R440" s="306">
        <f t="shared" ca="1" si="194"/>
        <v>0</v>
      </c>
      <c r="S440" s="307">
        <f t="shared" ca="1" si="195"/>
        <v>7.4799999999999969</v>
      </c>
      <c r="T440" s="304">
        <f t="shared" ca="1" si="175"/>
        <v>73.37879999999997</v>
      </c>
      <c r="U440" s="311">
        <f t="shared" ca="1" si="176"/>
        <v>0</v>
      </c>
      <c r="V440" s="306">
        <f t="shared" ca="1" si="177"/>
        <v>1.1132113304880678</v>
      </c>
      <c r="W440" s="304">
        <f t="shared" ca="1" si="178"/>
        <v>26.024018846915169</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6.1520851104451122</v>
      </c>
      <c r="AH440" s="304">
        <f t="shared" ca="1" si="202"/>
        <v>-3.4265658798850809</v>
      </c>
    </row>
    <row r="441" spans="1:34" x14ac:dyDescent="0.2">
      <c r="A441" s="347">
        <f t="shared" ca="1" si="180"/>
        <v>0.1</v>
      </c>
      <c r="B441" s="304">
        <f t="shared" ca="1" si="181"/>
        <v>25.700000000000099</v>
      </c>
      <c r="D441" s="306">
        <f t="shared" ca="1" si="182"/>
        <v>-0.74273988558678039</v>
      </c>
      <c r="E441" s="307">
        <f t="shared" ca="1" si="183"/>
        <v>-6.4110588933289678</v>
      </c>
      <c r="F441" s="304">
        <f t="shared" ca="1" si="184"/>
        <v>6.4539397790321775</v>
      </c>
      <c r="G441" s="306">
        <f t="shared" ca="1" si="185"/>
        <v>18.251582366461406</v>
      </c>
      <c r="H441" s="307">
        <f t="shared" ca="1" si="186"/>
        <v>-84.504255948679855</v>
      </c>
      <c r="I441" s="304">
        <f t="shared" ca="1" si="187"/>
        <v>86.452816798064603</v>
      </c>
      <c r="J441" s="306">
        <f t="shared" ca="1" si="188"/>
        <v>653.26191541784908</v>
      </c>
      <c r="K441" s="307">
        <f t="shared" ca="1" si="189"/>
        <v>947.77124399419688</v>
      </c>
      <c r="L441" s="304">
        <f t="shared" ca="1" si="174"/>
        <v>1151.0957653808412</v>
      </c>
      <c r="M441" s="306">
        <f t="shared" ca="1" si="190"/>
        <v>-1.3580796616474395</v>
      </c>
      <c r="N441" s="304">
        <f t="shared" ca="1" si="191"/>
        <v>-77.812232854953137</v>
      </c>
      <c r="P441" s="310">
        <f t="shared" ca="1" si="192"/>
        <v>23</v>
      </c>
      <c r="Q441" s="304">
        <f t="shared" ca="1" si="193"/>
        <v>0</v>
      </c>
      <c r="R441" s="306">
        <f t="shared" ca="1" si="194"/>
        <v>0</v>
      </c>
      <c r="S441" s="307">
        <f t="shared" ca="1" si="195"/>
        <v>7.4799999999999969</v>
      </c>
      <c r="T441" s="304">
        <f t="shared" ca="1" si="175"/>
        <v>73.37879999999997</v>
      </c>
      <c r="U441" s="311">
        <f t="shared" ca="1" si="176"/>
        <v>0</v>
      </c>
      <c r="V441" s="306">
        <f t="shared" ca="1" si="177"/>
        <v>1.114150997462247</v>
      </c>
      <c r="W441" s="304">
        <f t="shared" ca="1" si="178"/>
        <v>26.417912596989105</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6.1047002768660645</v>
      </c>
      <c r="AH441" s="304">
        <f t="shared" ca="1" si="202"/>
        <v>-3.4791469046678047</v>
      </c>
    </row>
    <row r="442" spans="1:34" x14ac:dyDescent="0.2">
      <c r="A442" s="347">
        <f t="shared" ca="1" si="180"/>
        <v>0.1</v>
      </c>
      <c r="B442" s="304">
        <f t="shared" ca="1" si="181"/>
        <v>25.8000000000001</v>
      </c>
      <c r="D442" s="306">
        <f t="shared" ca="1" si="182"/>
        <v>-0.74562124831135801</v>
      </c>
      <c r="E442" s="307">
        <f t="shared" ca="1" si="183"/>
        <v>-6.3577969228652105</v>
      </c>
      <c r="F442" s="304">
        <f t="shared" ca="1" si="184"/>
        <v>6.4013696001971123</v>
      </c>
      <c r="G442" s="306">
        <f t="shared" ca="1" si="185"/>
        <v>18.17702024163027</v>
      </c>
      <c r="H442" s="307">
        <f t="shared" ca="1" si="186"/>
        <v>-85.140035640966374</v>
      </c>
      <c r="I442" s="304">
        <f t="shared" ca="1" si="187"/>
        <v>87.058771722381096</v>
      </c>
      <c r="J442" s="306">
        <f t="shared" ca="1" si="188"/>
        <v>655.08334554825365</v>
      </c>
      <c r="K442" s="307">
        <f t="shared" ca="1" si="189"/>
        <v>939.28902941471461</v>
      </c>
      <c r="L442" s="304">
        <f t="shared" ca="1" si="174"/>
        <v>1145.1629012474727</v>
      </c>
      <c r="M442" s="306">
        <f t="shared" ca="1" si="190"/>
        <v>-1.3604585729850376</v>
      </c>
      <c r="N442" s="304">
        <f t="shared" ca="1" si="191"/>
        <v>-77.948534434433327</v>
      </c>
      <c r="P442" s="310">
        <f t="shared" ca="1" si="192"/>
        <v>23</v>
      </c>
      <c r="Q442" s="304">
        <f t="shared" ca="1" si="193"/>
        <v>0</v>
      </c>
      <c r="R442" s="306">
        <f t="shared" ca="1" si="194"/>
        <v>0</v>
      </c>
      <c r="S442" s="307">
        <f t="shared" ca="1" si="195"/>
        <v>7.4799999999999969</v>
      </c>
      <c r="T442" s="304">
        <f t="shared" ca="1" si="175"/>
        <v>73.37879999999997</v>
      </c>
      <c r="U442" s="311">
        <f t="shared" ca="1" si="176"/>
        <v>0</v>
      </c>
      <c r="V442" s="306">
        <f t="shared" ca="1" si="177"/>
        <v>1.115098554977997</v>
      </c>
      <c r="W442" s="304">
        <f t="shared" ca="1" si="178"/>
        <v>26.81232492686047</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6.0570858209852485</v>
      </c>
      <c r="AH442" s="304">
        <f t="shared" ca="1" si="202"/>
        <v>-3.5318064969236787</v>
      </c>
    </row>
    <row r="443" spans="1:34" x14ac:dyDescent="0.2">
      <c r="A443" s="347">
        <f t="shared" ca="1" si="180"/>
        <v>0.1</v>
      </c>
      <c r="B443" s="304">
        <f t="shared" ca="1" si="181"/>
        <v>25.900000000000102</v>
      </c>
      <c r="D443" s="306">
        <f t="shared" ca="1" si="182"/>
        <v>-0.74841594432479297</v>
      </c>
      <c r="E443" s="307">
        <f t="shared" ca="1" si="183"/>
        <v>-6.3044661266237672</v>
      </c>
      <c r="F443" s="304">
        <f t="shared" ca="1" si="184"/>
        <v>6.3487336979484388</v>
      </c>
      <c r="G443" s="306">
        <f t="shared" ca="1" si="185"/>
        <v>18.102178647197793</v>
      </c>
      <c r="H443" s="307">
        <f t="shared" ca="1" si="186"/>
        <v>-85.770482253628757</v>
      </c>
      <c r="I443" s="304">
        <f t="shared" ca="1" si="187"/>
        <v>87.659936674601298</v>
      </c>
      <c r="J443" s="306">
        <f t="shared" ca="1" si="188"/>
        <v>656.89730549269507</v>
      </c>
      <c r="K443" s="307">
        <f t="shared" ca="1" si="189"/>
        <v>930.74350351998487</v>
      </c>
      <c r="L443" s="304">
        <f t="shared" ca="1" si="174"/>
        <v>1139.2091727633776</v>
      </c>
      <c r="M443" s="306">
        <f t="shared" ca="1" si="190"/>
        <v>-1.3627951408808208</v>
      </c>
      <c r="N443" s="304">
        <f t="shared" ca="1" si="191"/>
        <v>-78.082409913407474</v>
      </c>
      <c r="P443" s="310">
        <f t="shared" ca="1" si="192"/>
        <v>23</v>
      </c>
      <c r="Q443" s="304">
        <f t="shared" ca="1" si="193"/>
        <v>0</v>
      </c>
      <c r="R443" s="306">
        <f t="shared" ca="1" si="194"/>
        <v>0</v>
      </c>
      <c r="S443" s="307">
        <f t="shared" ca="1" si="195"/>
        <v>7.4799999999999969</v>
      </c>
      <c r="T443" s="304">
        <f t="shared" ca="1" si="175"/>
        <v>73.37879999999997</v>
      </c>
      <c r="U443" s="311">
        <f t="shared" ca="1" si="176"/>
        <v>0</v>
      </c>
      <c r="V443" s="306">
        <f t="shared" ca="1" si="177"/>
        <v>1.1160539616884382</v>
      </c>
      <c r="W443" s="304">
        <f t="shared" ca="1" si="178"/>
        <v>27.207187412770935</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6.0092566044596332</v>
      </c>
      <c r="AH443" s="304">
        <f t="shared" ca="1" si="202"/>
        <v>-3.5845354180294762</v>
      </c>
    </row>
    <row r="444" spans="1:34" x14ac:dyDescent="0.2">
      <c r="A444" s="347">
        <f t="shared" ca="1" si="180"/>
        <v>0.1</v>
      </c>
      <c r="B444" s="304">
        <f t="shared" ca="1" si="181"/>
        <v>26.000000000000103</v>
      </c>
      <c r="D444" s="306">
        <f t="shared" ca="1" si="182"/>
        <v>-0.75112418242967405</v>
      </c>
      <c r="E444" s="307">
        <f t="shared" ca="1" si="183"/>
        <v>-6.2510757061372502</v>
      </c>
      <c r="F444" s="304">
        <f t="shared" ca="1" si="184"/>
        <v>6.2960412182013208</v>
      </c>
      <c r="G444" s="306">
        <f t="shared" ca="1" si="185"/>
        <v>18.027066228954826</v>
      </c>
      <c r="H444" s="307">
        <f t="shared" ca="1" si="186"/>
        <v>-86.395589824242478</v>
      </c>
      <c r="I444" s="304">
        <f t="shared" ca="1" si="187"/>
        <v>88.256291888464659</v>
      </c>
      <c r="J444" s="306">
        <f t="shared" ca="1" si="188"/>
        <v>658.70376773650275</v>
      </c>
      <c r="K444" s="307">
        <f t="shared" ca="1" si="189"/>
        <v>922.13519991609132</v>
      </c>
      <c r="L444" s="304">
        <f t="shared" ca="1" si="174"/>
        <v>1133.2360656785302</v>
      </c>
      <c r="M444" s="306">
        <f t="shared" ca="1" si="190"/>
        <v>-1.3650905146070198</v>
      </c>
      <c r="N444" s="304">
        <f t="shared" ca="1" si="191"/>
        <v>-78.213925140323894</v>
      </c>
      <c r="P444" s="310">
        <f t="shared" ca="1" si="192"/>
        <v>23</v>
      </c>
      <c r="Q444" s="304">
        <f t="shared" ca="1" si="193"/>
        <v>0</v>
      </c>
      <c r="R444" s="306">
        <f t="shared" ca="1" si="194"/>
        <v>0</v>
      </c>
      <c r="S444" s="307">
        <f t="shared" ca="1" si="195"/>
        <v>7.4799999999999969</v>
      </c>
      <c r="T444" s="304">
        <f t="shared" ca="1" si="175"/>
        <v>73.37879999999997</v>
      </c>
      <c r="U444" s="311">
        <f t="shared" ca="1" si="176"/>
        <v>0</v>
      </c>
      <c r="V444" s="306">
        <f t="shared" ca="1" si="177"/>
        <v>1.1170171761530592</v>
      </c>
      <c r="W444" s="304">
        <f t="shared" ca="1" si="178"/>
        <v>27.602432328801015</v>
      </c>
      <c r="Y444" s="314" t="str">
        <f t="shared" ca="1" si="196"/>
        <v/>
      </c>
      <c r="Z444" s="315" t="str">
        <f t="shared" ca="1" si="197"/>
        <v/>
      </c>
      <c r="AA444" s="316" t="str">
        <f t="shared" ca="1" si="198"/>
        <v/>
      </c>
      <c r="AC444" s="310">
        <f t="shared" ca="1" si="199"/>
        <v>26.000000000000103</v>
      </c>
      <c r="AD444" s="323">
        <f t="shared" ca="1" si="200"/>
        <v>658.70376773650275</v>
      </c>
      <c r="AE444" s="324" t="e">
        <f t="shared" ca="1" si="179"/>
        <v>#N/A</v>
      </c>
      <c r="AG444" s="306">
        <f t="shared" ca="1" si="201"/>
        <v>5.9612271421383518</v>
      </c>
      <c r="AH444" s="304">
        <f t="shared" ca="1" si="202"/>
        <v>-3.6373245204239235</v>
      </c>
    </row>
    <row r="445" spans="1:34" x14ac:dyDescent="0.2">
      <c r="A445" s="347">
        <f t="shared" ca="1" si="180"/>
        <v>0.1</v>
      </c>
      <c r="B445" s="304">
        <f t="shared" ca="1" si="181"/>
        <v>26.100000000000104</v>
      </c>
      <c r="D445" s="306">
        <f t="shared" ca="1" si="182"/>
        <v>-0.75374619664719522</v>
      </c>
      <c r="E445" s="307">
        <f t="shared" ca="1" si="183"/>
        <v>-6.1976347704032673</v>
      </c>
      <c r="F445" s="304">
        <f t="shared" ca="1" si="184"/>
        <v>6.2433012162053885</v>
      </c>
      <c r="G445" s="306">
        <f t="shared" ca="1" si="185"/>
        <v>17.951691609290108</v>
      </c>
      <c r="H445" s="307">
        <f t="shared" ca="1" si="186"/>
        <v>-87.015353301282801</v>
      </c>
      <c r="I445" s="304">
        <f t="shared" ca="1" si="187"/>
        <v>88.847819004082055</v>
      </c>
      <c r="J445" s="306">
        <f t="shared" ca="1" si="188"/>
        <v>660.50270562841501</v>
      </c>
      <c r="K445" s="307">
        <f t="shared" ca="1" si="189"/>
        <v>913.46465275981507</v>
      </c>
      <c r="L445" s="304">
        <f t="shared" ca="1" si="174"/>
        <v>1127.2450913550549</v>
      </c>
      <c r="M445" s="306">
        <f t="shared" ca="1" si="190"/>
        <v>-1.367345802465781</v>
      </c>
      <c r="N445" s="304">
        <f t="shared" ca="1" si="191"/>
        <v>-78.343143616218001</v>
      </c>
      <c r="P445" s="310">
        <f t="shared" ca="1" si="192"/>
        <v>23</v>
      </c>
      <c r="Q445" s="304">
        <f t="shared" ca="1" si="193"/>
        <v>0</v>
      </c>
      <c r="R445" s="306">
        <f t="shared" ca="1" si="194"/>
        <v>0</v>
      </c>
      <c r="S445" s="307">
        <f t="shared" ca="1" si="195"/>
        <v>7.4799999999999969</v>
      </c>
      <c r="T445" s="304">
        <f t="shared" ca="1" si="175"/>
        <v>73.37879999999997</v>
      </c>
      <c r="U445" s="311">
        <f t="shared" ca="1" si="176"/>
        <v>0</v>
      </c>
      <c r="V445" s="306">
        <f t="shared" ca="1" si="177"/>
        <v>1.117988156844389</v>
      </c>
      <c r="W445" s="304">
        <f t="shared" ca="1" si="178"/>
        <v>27.997992662946093</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5.9130116134603963</v>
      </c>
      <c r="AH445" s="304">
        <f t="shared" ca="1" si="202"/>
        <v>-3.6901647498397097</v>
      </c>
    </row>
    <row r="446" spans="1:34" x14ac:dyDescent="0.2">
      <c r="A446" s="347">
        <f t="shared" ca="1" si="180"/>
        <v>0.1</v>
      </c>
      <c r="B446" s="304">
        <f t="shared" ca="1" si="181"/>
        <v>26.200000000000106</v>
      </c>
      <c r="D446" s="306">
        <f t="shared" ca="1" si="182"/>
        <v>-0.75628224556661861</v>
      </c>
      <c r="E446" s="307">
        <f t="shared" ca="1" si="183"/>
        <v>-6.1441523336212658</v>
      </c>
      <c r="F446" s="304">
        <f t="shared" ca="1" si="184"/>
        <v>6.1905226543243446</v>
      </c>
      <c r="G446" s="306">
        <f t="shared" ca="1" si="185"/>
        <v>17.876063384733445</v>
      </c>
      <c r="H446" s="307">
        <f t="shared" ca="1" si="186"/>
        <v>-87.629768534644924</v>
      </c>
      <c r="I446" s="304">
        <f t="shared" ca="1" si="187"/>
        <v>89.434501036068028</v>
      </c>
      <c r="J446" s="306">
        <f t="shared" ca="1" si="188"/>
        <v>662.29409337811614</v>
      </c>
      <c r="K446" s="307">
        <f t="shared" ca="1" si="189"/>
        <v>904.73239666801874</v>
      </c>
      <c r="L446" s="304">
        <f t="shared" ca="1" si="174"/>
        <v>1121.2377873155176</v>
      </c>
      <c r="M446" s="306">
        <f t="shared" ca="1" si="190"/>
        <v>-1.3695620735593734</v>
      </c>
      <c r="N446" s="304">
        <f t="shared" ca="1" si="191"/>
        <v>-78.470126596137689</v>
      </c>
      <c r="P446" s="310">
        <f t="shared" ca="1" si="192"/>
        <v>23</v>
      </c>
      <c r="Q446" s="304">
        <f t="shared" ca="1" si="193"/>
        <v>0</v>
      </c>
      <c r="R446" s="306">
        <f t="shared" ca="1" si="194"/>
        <v>0</v>
      </c>
      <c r="S446" s="307">
        <f t="shared" ca="1" si="195"/>
        <v>7.4799999999999969</v>
      </c>
      <c r="T446" s="304">
        <f t="shared" ca="1" si="175"/>
        <v>73.37879999999997</v>
      </c>
      <c r="U446" s="311">
        <f t="shared" ca="1" si="176"/>
        <v>0</v>
      </c>
      <c r="V446" s="306">
        <f t="shared" ca="1" si="177"/>
        <v>1.1189668621546216</v>
      </c>
      <c r="W446" s="304">
        <f t="shared" ca="1" si="178"/>
        <v>28.393802132572798</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5.8646238731084956</v>
      </c>
      <c r="AH446" s="304">
        <f t="shared" ca="1" si="202"/>
        <v>-3.7430471474526876</v>
      </c>
    </row>
    <row r="447" spans="1:34" x14ac:dyDescent="0.2">
      <c r="A447" s="347">
        <f t="shared" ca="1" si="180"/>
        <v>0.1</v>
      </c>
      <c r="B447" s="304">
        <f t="shared" ca="1" si="181"/>
        <v>26.300000000000107</v>
      </c>
      <c r="D447" s="306">
        <f t="shared" ca="1" si="182"/>
        <v>-0.75873261170377904</v>
      </c>
      <c r="E447" s="307">
        <f t="shared" ca="1" si="183"/>
        <v>-6.0906373130187816</v>
      </c>
      <c r="F447" s="304">
        <f t="shared" ca="1" si="184"/>
        <v>6.1377143999048611</v>
      </c>
      <c r="G447" s="306">
        <f t="shared" ca="1" si="185"/>
        <v>17.800190123563066</v>
      </c>
      <c r="H447" s="307">
        <f t="shared" ca="1" si="186"/>
        <v>-88.238832265946797</v>
      </c>
      <c r="I447" s="304">
        <f t="shared" ca="1" si="187"/>
        <v>90.01632234263343</v>
      </c>
      <c r="J447" s="306">
        <f t="shared" ca="1" si="188"/>
        <v>664.07790605353102</v>
      </c>
      <c r="K447" s="307">
        <f t="shared" ca="1" si="189"/>
        <v>895.9389666279892</v>
      </c>
      <c r="L447" s="304">
        <f t="shared" ca="1" si="174"/>
        <v>1115.2157178012117</v>
      </c>
      <c r="M447" s="306">
        <f t="shared" ca="1" si="190"/>
        <v>-1.371740359471415</v>
      </c>
      <c r="N447" s="304">
        <f t="shared" ca="1" si="191"/>
        <v>-78.594933185470481</v>
      </c>
      <c r="P447" s="310">
        <f t="shared" ca="1" si="192"/>
        <v>23</v>
      </c>
      <c r="Q447" s="304">
        <f t="shared" ca="1" si="193"/>
        <v>0</v>
      </c>
      <c r="R447" s="306">
        <f t="shared" ca="1" si="194"/>
        <v>0</v>
      </c>
      <c r="S447" s="307">
        <f t="shared" ca="1" si="195"/>
        <v>7.4799999999999969</v>
      </c>
      <c r="T447" s="304">
        <f t="shared" ca="1" si="175"/>
        <v>73.37879999999997</v>
      </c>
      <c r="U447" s="311">
        <f t="shared" ca="1" si="176"/>
        <v>0</v>
      </c>
      <c r="V447" s="306">
        <f t="shared" ca="1" si="177"/>
        <v>1.1199532504021861</v>
      </c>
      <c r="W447" s="304">
        <f t="shared" ca="1" si="178"/>
        <v>28.789795199255892</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5.8160774609750652</v>
      </c>
      <c r="AH447" s="304">
        <f t="shared" ca="1" si="202"/>
        <v>-3.7959628519482367</v>
      </c>
    </row>
    <row r="448" spans="1:34" x14ac:dyDescent="0.2">
      <c r="A448" s="347">
        <f t="shared" ca="1" si="180"/>
        <v>0.1</v>
      </c>
      <c r="B448" s="304">
        <f t="shared" ca="1" si="181"/>
        <v>26.400000000000109</v>
      </c>
      <c r="D448" s="306">
        <f t="shared" ca="1" si="182"/>
        <v>-0.76109760086820188</v>
      </c>
      <c r="E448" s="307">
        <f t="shared" ca="1" si="183"/>
        <v>-6.0370985267667097</v>
      </c>
      <c r="F448" s="304">
        <f t="shared" ca="1" si="184"/>
        <v>6.0848852232343793</v>
      </c>
      <c r="G448" s="306">
        <f t="shared" ca="1" si="185"/>
        <v>17.724080363476247</v>
      </c>
      <c r="H448" s="307">
        <f t="shared" ca="1" si="186"/>
        <v>-88.84254211862347</v>
      </c>
      <c r="I448" s="304">
        <f t="shared" ca="1" si="187"/>
        <v>90.593268595576944</v>
      </c>
      <c r="J448" s="306">
        <f t="shared" ca="1" si="188"/>
        <v>665.85411957788301</v>
      </c>
      <c r="K448" s="307">
        <f t="shared" ca="1" si="189"/>
        <v>887.08489790876069</v>
      </c>
      <c r="L448" s="304">
        <f t="shared" ca="1" si="174"/>
        <v>1109.1804743397868</v>
      </c>
      <c r="M448" s="306">
        <f t="shared" ca="1" si="190"/>
        <v>-1.3738816558641656</v>
      </c>
      <c r="N448" s="304">
        <f t="shared" ca="1" si="191"/>
        <v>-78.717620431461668</v>
      </c>
      <c r="P448" s="310">
        <f t="shared" ca="1" si="192"/>
        <v>23</v>
      </c>
      <c r="Q448" s="304">
        <f t="shared" ca="1" si="193"/>
        <v>0</v>
      </c>
      <c r="R448" s="306">
        <f t="shared" ca="1" si="194"/>
        <v>0</v>
      </c>
      <c r="S448" s="307">
        <f t="shared" ca="1" si="195"/>
        <v>7.4799999999999969</v>
      </c>
      <c r="T448" s="304">
        <f t="shared" ca="1" si="175"/>
        <v>73.37879999999997</v>
      </c>
      <c r="U448" s="311">
        <f t="shared" ca="1" si="176"/>
        <v>0</v>
      </c>
      <c r="V448" s="306">
        <f t="shared" ca="1" si="177"/>
        <v>1.1209472798382669</v>
      </c>
      <c r="W448" s="304">
        <f t="shared" ca="1" si="178"/>
        <v>29.1859070829966</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5.7673856114918971</v>
      </c>
      <c r="AH448" s="304">
        <f t="shared" ca="1" si="202"/>
        <v>-3.8489031015048001</v>
      </c>
    </row>
    <row r="449" spans="1:34" x14ac:dyDescent="0.2">
      <c r="A449" s="347">
        <f t="shared" ca="1" si="180"/>
        <v>0.1</v>
      </c>
      <c r="B449" s="304">
        <f t="shared" ca="1" si="181"/>
        <v>26.50000000000011</v>
      </c>
      <c r="D449" s="306">
        <f t="shared" ca="1" si="182"/>
        <v>-0.76337754153846638</v>
      </c>
      <c r="E449" s="307">
        <f t="shared" ca="1" si="183"/>
        <v>-5.9835446919830648</v>
      </c>
      <c r="F449" s="304">
        <f t="shared" ca="1" si="184"/>
        <v>6.0320437955873647</v>
      </c>
      <c r="G449" s="306">
        <f t="shared" ca="1" si="185"/>
        <v>17.6477426093224</v>
      </c>
      <c r="H449" s="307">
        <f t="shared" ca="1" si="186"/>
        <v>-89.440896587821783</v>
      </c>
      <c r="I449" s="304">
        <f t="shared" ca="1" si="187"/>
        <v>91.165326751119167</v>
      </c>
      <c r="J449" s="306">
        <f t="shared" ca="1" si="188"/>
        <v>667.622710726523</v>
      </c>
      <c r="K449" s="307">
        <f t="shared" ca="1" si="189"/>
        <v>878.17072597343838</v>
      </c>
      <c r="L449" s="304">
        <f t="shared" ca="1" si="174"/>
        <v>1103.1336763214813</v>
      </c>
      <c r="M449" s="306">
        <f t="shared" ca="1" si="190"/>
        <v>-1.3759869239966229</v>
      </c>
      <c r="N449" s="304">
        <f t="shared" ca="1" si="191"/>
        <v>-78.838243410194877</v>
      </c>
      <c r="P449" s="310">
        <f t="shared" ca="1" si="192"/>
        <v>23</v>
      </c>
      <c r="Q449" s="304">
        <f t="shared" ca="1" si="193"/>
        <v>0</v>
      </c>
      <c r="R449" s="306">
        <f t="shared" ca="1" si="194"/>
        <v>0</v>
      </c>
      <c r="S449" s="307">
        <f t="shared" ca="1" si="195"/>
        <v>7.4799999999999969</v>
      </c>
      <c r="T449" s="304">
        <f t="shared" ca="1" si="175"/>
        <v>73.37879999999997</v>
      </c>
      <c r="U449" s="311">
        <f t="shared" ca="1" si="176"/>
        <v>0</v>
      </c>
      <c r="V449" s="306">
        <f t="shared" ca="1" si="177"/>
        <v>1.1219489086532695</v>
      </c>
      <c r="W449" s="304">
        <f t="shared" ca="1" si="178"/>
        <v>29.582073775823698</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5.7185612623713649</v>
      </c>
      <c r="AH449" s="304">
        <f t="shared" ca="1" si="202"/>
        <v>-3.9018592356947344</v>
      </c>
    </row>
    <row r="450" spans="1:34" x14ac:dyDescent="0.2">
      <c r="A450" s="347">
        <f t="shared" ca="1" si="180"/>
        <v>0.1</v>
      </c>
      <c r="B450" s="304">
        <f t="shared" ca="1" si="181"/>
        <v>26.600000000000112</v>
      </c>
      <c r="D450" s="306">
        <f t="shared" ca="1" si="182"/>
        <v>-0.76557278424547781</v>
      </c>
      <c r="E450" s="307">
        <f t="shared" ca="1" si="183"/>
        <v>-5.9299844228247336</v>
      </c>
      <c r="F450" s="304">
        <f t="shared" ca="1" si="184"/>
        <v>5.9791986873594833</v>
      </c>
      <c r="G450" s="306">
        <f t="shared" ca="1" si="185"/>
        <v>17.571185330897851</v>
      </c>
      <c r="H450" s="307">
        <f t="shared" ca="1" si="186"/>
        <v>-90.033895030104262</v>
      </c>
      <c r="I450" s="304">
        <f t="shared" ca="1" si="187"/>
        <v>91.732485021526557</v>
      </c>
      <c r="J450" s="306">
        <f t="shared" ca="1" si="188"/>
        <v>669.38365712353402</v>
      </c>
      <c r="K450" s="307">
        <f t="shared" ca="1" si="189"/>
        <v>869.19698639254204</v>
      </c>
      <c r="L450" s="304">
        <f t="shared" ca="1" si="174"/>
        <v>1097.0769715831036</v>
      </c>
      <c r="M450" s="306">
        <f t="shared" ca="1" si="190"/>
        <v>-1.3780570921678614</v>
      </c>
      <c r="N450" s="304">
        <f t="shared" ca="1" si="191"/>
        <v>-78.956855309289153</v>
      </c>
      <c r="P450" s="310">
        <f t="shared" ca="1" si="192"/>
        <v>23</v>
      </c>
      <c r="Q450" s="304">
        <f t="shared" ca="1" si="193"/>
        <v>0</v>
      </c>
      <c r="R450" s="306">
        <f t="shared" ca="1" si="194"/>
        <v>0</v>
      </c>
      <c r="S450" s="307">
        <f t="shared" ca="1" si="195"/>
        <v>7.4799999999999969</v>
      </c>
      <c r="T450" s="304">
        <f t="shared" ca="1" si="175"/>
        <v>73.37879999999997</v>
      </c>
      <c r="U450" s="311">
        <f t="shared" ca="1" si="176"/>
        <v>0</v>
      </c>
      <c r="V450" s="306">
        <f t="shared" ca="1" si="177"/>
        <v>1.1229580949832303</v>
      </c>
      <c r="W450" s="304">
        <f t="shared" ca="1" si="178"/>
        <v>29.97823205477912</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5.6696170628034217</v>
      </c>
      <c r="AH450" s="304">
        <f t="shared" ca="1" si="202"/>
        <v>-3.9548226973026352</v>
      </c>
    </row>
    <row r="451" spans="1:34" x14ac:dyDescent="0.2">
      <c r="A451" s="347">
        <f t="shared" ca="1" si="180"/>
        <v>0.1</v>
      </c>
      <c r="B451" s="304">
        <f t="shared" ca="1" si="181"/>
        <v>26.700000000000113</v>
      </c>
      <c r="D451" s="306">
        <f t="shared" ca="1" si="182"/>
        <v>-0.76768370096335825</v>
      </c>
      <c r="E451" s="307">
        <f t="shared" ca="1" si="183"/>
        <v>-5.8764262286666611</v>
      </c>
      <c r="F451" s="304">
        <f t="shared" ca="1" si="184"/>
        <v>5.9263583662892243</v>
      </c>
      <c r="G451" s="306">
        <f t="shared" ca="1" si="185"/>
        <v>17.494416960801516</v>
      </c>
      <c r="H451" s="307">
        <f t="shared" ca="1" si="186"/>
        <v>-90.621537652970929</v>
      </c>
      <c r="I451" s="304">
        <f t="shared" ca="1" si="187"/>
        <v>92.29473284747732</v>
      </c>
      <c r="J451" s="306">
        <f t="shared" ca="1" si="188"/>
        <v>671.136937238119</v>
      </c>
      <c r="K451" s="307">
        <f t="shared" ca="1" si="189"/>
        <v>860.16421475838831</v>
      </c>
      <c r="L451" s="304">
        <f t="shared" ca="1" si="174"/>
        <v>1091.0120369988031</v>
      </c>
      <c r="M451" s="306">
        <f t="shared" ca="1" si="190"/>
        <v>-1.3800930570897794</v>
      </c>
      <c r="N451" s="304">
        <f t="shared" ca="1" si="191"/>
        <v>-79.073507506551735</v>
      </c>
      <c r="P451" s="310">
        <f t="shared" ca="1" si="192"/>
        <v>23</v>
      </c>
      <c r="Q451" s="304">
        <f t="shared" ca="1" si="193"/>
        <v>0</v>
      </c>
      <c r="R451" s="306">
        <f t="shared" ca="1" si="194"/>
        <v>0</v>
      </c>
      <c r="S451" s="307">
        <f t="shared" ca="1" si="195"/>
        <v>7.4799999999999969</v>
      </c>
      <c r="T451" s="304">
        <f t="shared" ca="1" si="175"/>
        <v>73.37879999999997</v>
      </c>
      <c r="U451" s="311">
        <f t="shared" ca="1" si="176"/>
        <v>0</v>
      </c>
      <c r="V451" s="306">
        <f t="shared" ca="1" si="177"/>
        <v>1.1239747969161682</v>
      </c>
      <c r="W451" s="304">
        <f t="shared" ca="1" si="178"/>
        <v>30.374319494290525</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5.6205653811492997</v>
      </c>
      <c r="AH451" s="304">
        <f t="shared" ca="1" si="202"/>
        <v>-4.0077850340613814</v>
      </c>
    </row>
    <row r="452" spans="1:34" x14ac:dyDescent="0.2">
      <c r="A452" s="347">
        <f t="shared" ca="1" si="180"/>
        <v>0.1</v>
      </c>
      <c r="B452" s="304">
        <f t="shared" ca="1" si="181"/>
        <v>26.800000000000114</v>
      </c>
      <c r="D452" s="306">
        <f t="shared" ca="1" si="182"/>
        <v>-0.76971068450769575</v>
      </c>
      <c r="E452" s="307">
        <f t="shared" ca="1" si="183"/>
        <v>-5.8228785123678426</v>
      </c>
      <c r="F452" s="304">
        <f t="shared" ca="1" si="184"/>
        <v>5.8735311957663461</v>
      </c>
      <c r="G452" s="306">
        <f t="shared" ca="1" si="185"/>
        <v>17.417445892350745</v>
      </c>
      <c r="H452" s="307">
        <f t="shared" ca="1" si="186"/>
        <v>-91.203825504207714</v>
      </c>
      <c r="I452" s="304">
        <f t="shared" ca="1" si="187"/>
        <v>92.85206087112411</v>
      </c>
      <c r="J452" s="306">
        <f t="shared" ca="1" si="188"/>
        <v>672.88253038077664</v>
      </c>
      <c r="K452" s="307">
        <f t="shared" ca="1" si="189"/>
        <v>851.07294660052935</v>
      </c>
      <c r="L452" s="304">
        <f t="shared" ref="L452:L515" ca="1" si="203">SQRT(pos_x^2+pos_z^2)</f>
        <v>1084.9405790765429</v>
      </c>
      <c r="M452" s="306">
        <f t="shared" ca="1" si="190"/>
        <v>-1.3820956851931596</v>
      </c>
      <c r="N452" s="304">
        <f t="shared" ca="1" si="191"/>
        <v>-79.188249644809716</v>
      </c>
      <c r="P452" s="310">
        <f t="shared" ca="1" si="192"/>
        <v>23</v>
      </c>
      <c r="Q452" s="304">
        <f t="shared" ca="1" si="193"/>
        <v>0</v>
      </c>
      <c r="R452" s="306">
        <f t="shared" ca="1" si="194"/>
        <v>0</v>
      </c>
      <c r="S452" s="307">
        <f t="shared" ca="1" si="195"/>
        <v>7.4799999999999969</v>
      </c>
      <c r="T452" s="304">
        <f t="shared" ref="T452:T515" ca="1" si="204">m*g</f>
        <v>73.37879999999997</v>
      </c>
      <c r="U452" s="311">
        <f t="shared" ref="U452:U515" ca="1" si="205">IF(pos_xz&lt;L_rampe,Poids*COS(Beta),0)</f>
        <v>0</v>
      </c>
      <c r="V452" s="306">
        <f t="shared" ref="V452:V515" ca="1" si="206">Rho_moyen*(20000-Alt_rampe-pos_z)/(20000+Alt_rampe+pos_z)</f>
        <v>1.1249989724983795</v>
      </c>
      <c r="W452" s="304">
        <f t="shared" ref="W452:W515" ca="1" si="207">1/2*Rho*Sref*Cx*vit_xz^2</f>
        <v>30.770274477933683</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5.5714183121698158</v>
      </c>
      <c r="AH452" s="304">
        <f t="shared" ca="1" si="202"/>
        <v>-4.0607379003062212</v>
      </c>
    </row>
    <row r="453" spans="1:34" x14ac:dyDescent="0.2">
      <c r="A453" s="347">
        <f t="shared" ref="A453:A516" ca="1" si="209">IF(B452+0.01&lt;=T_ini+ROUNDUP(Temps_fin_propu,0), 0.01, IF(K452&gt;0, 0.1, 0.0001))</f>
        <v>0.1</v>
      </c>
      <c r="B453" s="304">
        <f t="shared" ref="B453:B516" ca="1" si="210">B452+pas</f>
        <v>26.900000000000116</v>
      </c>
      <c r="D453" s="306">
        <f t="shared" ref="D453:D516" ca="1" si="211">IF(AND(L452&lt;L_rampe,Poussee&lt;Poids*SIN(M452)),0,(-W452+Poussee)/m*COS(M452)-U452/m*SIN(M452))</f>
        <v>-0.77165414794094855</v>
      </c>
      <c r="E453" s="307">
        <f t="shared" ref="E453:E516" ca="1" si="212">IF(AND(L452&lt;L_rampe,Poussee&lt;Poids*SIN(M452)),0,(-W452+Poussee)/m*SIN(M452)+U452/m*COS(M452)-Poids/m)</f>
        <v>-5.7693495686234746</v>
      </c>
      <c r="F453" s="304">
        <f t="shared" ref="F453:F516" ca="1" si="213">SQRT(acc_x^2+acc_z^2)</f>
        <v>5.8207254332265448</v>
      </c>
      <c r="G453" s="306">
        <f t="shared" ref="G453:G516" ca="1" si="214">G452+acc_x*pas</f>
        <v>17.34028047755665</v>
      </c>
      <c r="H453" s="307">
        <f t="shared" ref="H453:H516" ca="1" si="215">H452+acc_z*pas</f>
        <v>-91.780760461070059</v>
      </c>
      <c r="I453" s="304">
        <f t="shared" ref="I453:I516" ca="1" si="216">SQRT(vit_x^2+vit_z^2)</f>
        <v>93.4044609098123</v>
      </c>
      <c r="J453" s="306">
        <f t="shared" ref="J453:J516" ca="1" si="217">J452+0.5*(vit_x+G452)*pas*(K452&gt;=0)</f>
        <v>674.62041669927203</v>
      </c>
      <c r="K453" s="307">
        <f t="shared" ref="K453:K516" ca="1" si="218">K452+0.5*(vit_z+H452)*pas</f>
        <v>841.92371730226546</v>
      </c>
      <c r="L453" s="304">
        <f t="shared" ca="1" si="203"/>
        <v>1078.8643345590606</v>
      </c>
      <c r="M453" s="306">
        <f t="shared" ref="M453:M516" ca="1" si="219">IF(AND(L452&gt;L_rampe,G453&gt;0),ATAN2(G453,H453),$M$4)</f>
        <v>-1.3840658138707205</v>
      </c>
      <c r="N453" s="304">
        <f t="shared" ref="N453:N516" ca="1" si="220">DEGREES(Beta)</f>
        <v>-79.301129703131636</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7.4799999999999969</v>
      </c>
      <c r="T453" s="304">
        <f t="shared" ca="1" si="204"/>
        <v>73.37879999999997</v>
      </c>
      <c r="U453" s="311">
        <f t="shared" ca="1" si="205"/>
        <v>0</v>
      </c>
      <c r="V453" s="306">
        <f t="shared" ca="1" si="206"/>
        <v>1.1260305797406718</v>
      </c>
      <c r="W453" s="304">
        <f t="shared" ca="1" si="207"/>
        <v>31.166036209587805</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5.5221876838233976</v>
      </c>
      <c r="AH453" s="304">
        <f t="shared" ref="AH453:AH516" ca="1" si="231">IF(AND(L452&lt;L_rampe,Poussee&lt;Poids*SIN(M452)), g*SIN(M452), (-W452+Poussee)/m)</f>
        <v>-4.1136730585472856</v>
      </c>
    </row>
    <row r="454" spans="1:34" x14ac:dyDescent="0.2">
      <c r="A454" s="347">
        <f t="shared" ca="1" si="209"/>
        <v>0.1</v>
      </c>
      <c r="B454" s="304">
        <f t="shared" ca="1" si="210"/>
        <v>27.000000000000117</v>
      </c>
      <c r="D454" s="306">
        <f t="shared" ca="1" si="211"/>
        <v>-0.77351452398478016</v>
      </c>
      <c r="E454" s="307">
        <f t="shared" ca="1" si="212"/>
        <v>-5.7158475824025903</v>
      </c>
      <c r="F454" s="304">
        <f t="shared" ca="1" si="213"/>
        <v>5.767949228631692</v>
      </c>
      <c r="G454" s="306">
        <f t="shared" ca="1" si="214"/>
        <v>17.262929025158172</v>
      </c>
      <c r="H454" s="307">
        <f t="shared" ca="1" si="215"/>
        <v>-92.352345219310322</v>
      </c>
      <c r="I454" s="304">
        <f t="shared" ca="1" si="216"/>
        <v>93.951925930415698</v>
      </c>
      <c r="J454" s="306">
        <f t="shared" ca="1" si="217"/>
        <v>676.35057717440782</v>
      </c>
      <c r="K454" s="307">
        <f t="shared" ca="1" si="218"/>
        <v>832.71706201824645</v>
      </c>
      <c r="L454" s="304">
        <f t="shared" ca="1" si="203"/>
        <v>1072.7850710279552</v>
      </c>
      <c r="M454" s="306">
        <f t="shared" ca="1" si="219"/>
        <v>-1.3860042526605947</v>
      </c>
      <c r="N454" s="304">
        <f t="shared" ca="1" si="220"/>
        <v>-79.412194064635869</v>
      </c>
      <c r="P454" s="310">
        <f t="shared" ca="1" si="221"/>
        <v>23</v>
      </c>
      <c r="Q454" s="304">
        <f t="shared" ca="1" si="222"/>
        <v>0</v>
      </c>
      <c r="R454" s="306">
        <f t="shared" ca="1" si="223"/>
        <v>0</v>
      </c>
      <c r="S454" s="307">
        <f t="shared" ca="1" si="224"/>
        <v>7.4799999999999969</v>
      </c>
      <c r="T454" s="304">
        <f t="shared" ca="1" si="204"/>
        <v>73.37879999999997</v>
      </c>
      <c r="U454" s="311">
        <f t="shared" ca="1" si="205"/>
        <v>0</v>
      </c>
      <c r="V454" s="306">
        <f t="shared" ca="1" si="206"/>
        <v>1.1270695766245358</v>
      </c>
      <c r="W454" s="304">
        <f t="shared" ca="1" si="207"/>
        <v>31.56154472398768</v>
      </c>
      <c r="Y454" s="314" t="str">
        <f t="shared" ca="1" si="225"/>
        <v/>
      </c>
      <c r="Z454" s="315" t="str">
        <f t="shared" ca="1" si="226"/>
        <v/>
      </c>
      <c r="AA454" s="316" t="str">
        <f t="shared" ca="1" si="227"/>
        <v/>
      </c>
      <c r="AC454" s="310">
        <f t="shared" ca="1" si="228"/>
        <v>27.000000000000117</v>
      </c>
      <c r="AD454" s="323">
        <f t="shared" ca="1" si="229"/>
        <v>676.35057717440782</v>
      </c>
      <c r="AE454" s="324" t="e">
        <f t="shared" ca="1" si="208"/>
        <v>#N/A</v>
      </c>
      <c r="AG454" s="306">
        <f t="shared" ca="1" si="230"/>
        <v>5.472885063666344</v>
      </c>
      <c r="AH454" s="304">
        <f t="shared" ca="1" si="231"/>
        <v>-4.1665823809609384</v>
      </c>
    </row>
    <row r="455" spans="1:34" x14ac:dyDescent="0.2">
      <c r="A455" s="347">
        <f t="shared" ca="1" si="209"/>
        <v>0.1</v>
      </c>
      <c r="B455" s="304">
        <f t="shared" ca="1" si="210"/>
        <v>27.100000000000119</v>
      </c>
      <c r="D455" s="306">
        <f t="shared" ca="1" si="211"/>
        <v>-0.77529226443919375</v>
      </c>
      <c r="E455" s="307">
        <f t="shared" ca="1" si="212"/>
        <v>-5.6623806274704211</v>
      </c>
      <c r="F455" s="304">
        <f t="shared" ca="1" si="213"/>
        <v>5.7152106230349524</v>
      </c>
      <c r="G455" s="306">
        <f t="shared" ca="1" si="214"/>
        <v>17.185399798714254</v>
      </c>
      <c r="H455" s="307">
        <f t="shared" ca="1" si="215"/>
        <v>-92.918583282057369</v>
      </c>
      <c r="I455" s="304">
        <f t="shared" ca="1" si="216"/>
        <v>94.49445002425422</v>
      </c>
      <c r="J455" s="306">
        <f t="shared" ca="1" si="217"/>
        <v>678.07299361560149</v>
      </c>
      <c r="K455" s="307">
        <f t="shared" ca="1" si="218"/>
        <v>823.45351559317805</v>
      </c>
      <c r="L455" s="304">
        <f t="shared" ca="1" si="203"/>
        <v>1066.7045875093947</v>
      </c>
      <c r="M455" s="306">
        <f t="shared" ca="1" si="219"/>
        <v>-1.3879117843734812</v>
      </c>
      <c r="N455" s="304">
        <f t="shared" ca="1" si="220"/>
        <v>-79.521487581071639</v>
      </c>
      <c r="P455" s="310">
        <f t="shared" ca="1" si="221"/>
        <v>23</v>
      </c>
      <c r="Q455" s="304">
        <f t="shared" ca="1" si="222"/>
        <v>0</v>
      </c>
      <c r="R455" s="306">
        <f t="shared" ca="1" si="223"/>
        <v>0</v>
      </c>
      <c r="S455" s="307">
        <f t="shared" ca="1" si="224"/>
        <v>7.4799999999999969</v>
      </c>
      <c r="T455" s="304">
        <f t="shared" ca="1" si="204"/>
        <v>73.37879999999997</v>
      </c>
      <c r="U455" s="311">
        <f t="shared" ca="1" si="205"/>
        <v>0</v>
      </c>
      <c r="V455" s="306">
        <f t="shared" ca="1" si="206"/>
        <v>1.1281159211082565</v>
      </c>
      <c r="W455" s="304">
        <f t="shared" ca="1" si="207"/>
        <v>31.956740896676873</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5.4235217648854501</v>
      </c>
      <c r="AH455" s="304">
        <f t="shared" ca="1" si="231"/>
        <v>-4.2194578508004934</v>
      </c>
    </row>
    <row r="456" spans="1:34" x14ac:dyDescent="0.2">
      <c r="A456" s="347">
        <f t="shared" ca="1" si="209"/>
        <v>0.1</v>
      </c>
      <c r="B456" s="304">
        <f t="shared" ca="1" si="210"/>
        <v>27.20000000000012</v>
      </c>
      <c r="D456" s="306">
        <f t="shared" ca="1" si="211"/>
        <v>-0.77698783960830409</v>
      </c>
      <c r="E456" s="307">
        <f t="shared" ca="1" si="212"/>
        <v>-5.6089566649946967</v>
      </c>
      <c r="F456" s="304">
        <f t="shared" ca="1" si="213"/>
        <v>5.6625175472299958</v>
      </c>
      <c r="G456" s="306">
        <f t="shared" ca="1" si="214"/>
        <v>17.107701014753424</v>
      </c>
      <c r="H456" s="307">
        <f t="shared" ca="1" si="215"/>
        <v>-93.479478948556846</v>
      </c>
      <c r="I456" s="304">
        <f t="shared" ca="1" si="216"/>
        <v>95.032028382560995</v>
      </c>
      <c r="J456" s="306">
        <f t="shared" ca="1" si="217"/>
        <v>679.78764865627488</v>
      </c>
      <c r="K456" s="307">
        <f t="shared" ca="1" si="218"/>
        <v>814.13361248164733</v>
      </c>
      <c r="L456" s="304">
        <f t="shared" ca="1" si="203"/>
        <v>1060.6247150797703</v>
      </c>
      <c r="M456" s="306">
        <f t="shared" ca="1" si="219"/>
        <v>-1.3897891661665061</v>
      </c>
      <c r="N456" s="304">
        <f t="shared" ca="1" si="220"/>
        <v>-79.629053634346661</v>
      </c>
      <c r="P456" s="310">
        <f t="shared" ca="1" si="221"/>
        <v>23</v>
      </c>
      <c r="Q456" s="304">
        <f t="shared" ca="1" si="222"/>
        <v>0</v>
      </c>
      <c r="R456" s="306">
        <f t="shared" ca="1" si="223"/>
        <v>0</v>
      </c>
      <c r="S456" s="307">
        <f t="shared" ca="1" si="224"/>
        <v>7.4799999999999969</v>
      </c>
      <c r="T456" s="304">
        <f t="shared" ca="1" si="204"/>
        <v>73.37879999999997</v>
      </c>
      <c r="U456" s="311">
        <f t="shared" ca="1" si="205"/>
        <v>0</v>
      </c>
      <c r="V456" s="306">
        <f t="shared" ca="1" si="206"/>
        <v>1.1291695711329577</v>
      </c>
      <c r="W456" s="304">
        <f t="shared" ca="1" si="207"/>
        <v>32.351566453366331</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5.374108851990858</v>
      </c>
      <c r="AH456" s="304">
        <f t="shared" ca="1" si="231"/>
        <v>-4.2722915637268564</v>
      </c>
    </row>
    <row r="457" spans="1:34" x14ac:dyDescent="0.2">
      <c r="A457" s="347">
        <f t="shared" ca="1" si="209"/>
        <v>0.1</v>
      </c>
      <c r="B457" s="304">
        <f t="shared" ca="1" si="210"/>
        <v>27.300000000000122</v>
      </c>
      <c r="D457" s="306">
        <f t="shared" ca="1" si="211"/>
        <v>-0.77860173773263985</v>
      </c>
      <c r="E457" s="307">
        <f t="shared" ca="1" si="212"/>
        <v>-5.5555835422351088</v>
      </c>
      <c r="F457" s="304">
        <f t="shared" ca="1" si="213"/>
        <v>5.6098778204836055</v>
      </c>
      <c r="G457" s="306">
        <f t="shared" ca="1" si="214"/>
        <v>17.02984084098016</v>
      </c>
      <c r="H457" s="307">
        <f t="shared" ca="1" si="215"/>
        <v>-94.035037302780353</v>
      </c>
      <c r="I457" s="304">
        <f t="shared" ca="1" si="216"/>
        <v>95.564657272468722</v>
      </c>
      <c r="J457" s="306">
        <f t="shared" ca="1" si="217"/>
        <v>681.49452574906161</v>
      </c>
      <c r="K457" s="307">
        <f t="shared" ca="1" si="218"/>
        <v>804.75788666908045</v>
      </c>
      <c r="L457" s="304">
        <f t="shared" ca="1" si="203"/>
        <v>1054.5473174694548</v>
      </c>
      <c r="M457" s="306">
        <f t="shared" ca="1" si="219"/>
        <v>-1.3916371305666575</v>
      </c>
      <c r="N457" s="304">
        <f t="shared" ca="1" si="220"/>
        <v>-79.734934195165764</v>
      </c>
      <c r="P457" s="310">
        <f t="shared" ca="1" si="221"/>
        <v>23</v>
      </c>
      <c r="Q457" s="304">
        <f t="shared" ca="1" si="222"/>
        <v>0</v>
      </c>
      <c r="R457" s="306">
        <f t="shared" ca="1" si="223"/>
        <v>0</v>
      </c>
      <c r="S457" s="307">
        <f t="shared" ca="1" si="224"/>
        <v>7.4799999999999969</v>
      </c>
      <c r="T457" s="304">
        <f t="shared" ca="1" si="204"/>
        <v>73.37879999999997</v>
      </c>
      <c r="U457" s="311">
        <f t="shared" ca="1" si="205"/>
        <v>0</v>
      </c>
      <c r="V457" s="306">
        <f t="shared" ca="1" si="206"/>
        <v>1.1302304846285853</v>
      </c>
      <c r="W457" s="304">
        <f t="shared" ca="1" si="207"/>
        <v>32.745963978703749</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5.3246571461950909</v>
      </c>
      <c r="AH457" s="304">
        <f t="shared" ca="1" si="231"/>
        <v>-4.3250757290596722</v>
      </c>
    </row>
    <row r="458" spans="1:34" x14ac:dyDescent="0.2">
      <c r="A458" s="347">
        <f t="shared" ca="1" si="209"/>
        <v>0.1</v>
      </c>
      <c r="B458" s="304">
        <f t="shared" ca="1" si="210"/>
        <v>27.400000000000123</v>
      </c>
      <c r="D458" s="306">
        <f t="shared" ca="1" si="211"/>
        <v>-0.78013446442787948</v>
      </c>
      <c r="E458" s="307">
        <f t="shared" ca="1" si="212"/>
        <v>-5.5022689913150149</v>
      </c>
      <c r="F458" s="304">
        <f t="shared" ca="1" si="213"/>
        <v>5.557299149350782</v>
      </c>
      <c r="G458" s="306">
        <f t="shared" ca="1" si="214"/>
        <v>16.951827394537371</v>
      </c>
      <c r="H458" s="307">
        <f t="shared" ca="1" si="215"/>
        <v>-94.585264201911855</v>
      </c>
      <c r="I458" s="304">
        <f t="shared" ca="1" si="216"/>
        <v>96.092334013487545</v>
      </c>
      <c r="J458" s="306">
        <f t="shared" ca="1" si="217"/>
        <v>683.19360916083747</v>
      </c>
      <c r="K458" s="307">
        <f t="shared" ca="1" si="218"/>
        <v>795.32687159384579</v>
      </c>
      <c r="L458" s="304">
        <f t="shared" ca="1" si="203"/>
        <v>1048.4742916626353</v>
      </c>
      <c r="M458" s="306">
        <f t="shared" ca="1" si="219"/>
        <v>-1.3934563864464828</v>
      </c>
      <c r="N458" s="304">
        <f t="shared" ca="1" si="220"/>
        <v>-79.839169878934115</v>
      </c>
      <c r="P458" s="310">
        <f t="shared" ca="1" si="221"/>
        <v>23</v>
      </c>
      <c r="Q458" s="304">
        <f t="shared" ca="1" si="222"/>
        <v>0</v>
      </c>
      <c r="R458" s="306">
        <f t="shared" ca="1" si="223"/>
        <v>0</v>
      </c>
      <c r="S458" s="307">
        <f t="shared" ca="1" si="224"/>
        <v>7.4799999999999969</v>
      </c>
      <c r="T458" s="304">
        <f t="shared" ca="1" si="204"/>
        <v>73.37879999999997</v>
      </c>
      <c r="U458" s="311">
        <f t="shared" ca="1" si="205"/>
        <v>0</v>
      </c>
      <c r="V458" s="306">
        <f t="shared" ca="1" si="206"/>
        <v>1.13129861951982</v>
      </c>
      <c r="W458" s="304">
        <f t="shared" ca="1" si="207"/>
        <v>33.139876924458839</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5.2751772305021527</v>
      </c>
      <c r="AH458" s="304">
        <f t="shared" ca="1" si="231"/>
        <v>-4.3778026709497011</v>
      </c>
    </row>
    <row r="459" spans="1:34" x14ac:dyDescent="0.2">
      <c r="A459" s="347">
        <f t="shared" ca="1" si="209"/>
        <v>0.1</v>
      </c>
      <c r="B459" s="304">
        <f t="shared" ca="1" si="210"/>
        <v>27.500000000000124</v>
      </c>
      <c r="D459" s="306">
        <f t="shared" ca="1" si="211"/>
        <v>-0.78158654212993584</v>
      </c>
      <c r="E459" s="307">
        <f t="shared" ca="1" si="212"/>
        <v>-5.4490206280745204</v>
      </c>
      <c r="F459" s="304">
        <f t="shared" ca="1" si="213"/>
        <v>5.5047891265715414</v>
      </c>
      <c r="G459" s="306">
        <f t="shared" ca="1" si="214"/>
        <v>16.873668740324376</v>
      </c>
      <c r="H459" s="307">
        <f t="shared" ca="1" si="215"/>
        <v>-95.130166264719307</v>
      </c>
      <c r="I459" s="304">
        <f t="shared" ca="1" si="216"/>
        <v>96.615056954448562</v>
      </c>
      <c r="J459" s="306">
        <f t="shared" ca="1" si="217"/>
        <v>684.88488396758055</v>
      </c>
      <c r="K459" s="307">
        <f t="shared" ca="1" si="218"/>
        <v>785.84110007051424</v>
      </c>
      <c r="L459" s="304">
        <f t="shared" ca="1" si="203"/>
        <v>1042.4075684910017</v>
      </c>
      <c r="M459" s="306">
        <f t="shared" ca="1" si="219"/>
        <v>-1.3952476199545769</v>
      </c>
      <c r="N459" s="304">
        <f t="shared" ca="1" si="220"/>
        <v>-79.941799999070312</v>
      </c>
      <c r="P459" s="310">
        <f t="shared" ca="1" si="221"/>
        <v>23</v>
      </c>
      <c r="Q459" s="304">
        <f t="shared" ca="1" si="222"/>
        <v>0</v>
      </c>
      <c r="R459" s="306">
        <f t="shared" ca="1" si="223"/>
        <v>0</v>
      </c>
      <c r="S459" s="307">
        <f t="shared" ca="1" si="224"/>
        <v>7.4799999999999969</v>
      </c>
      <c r="T459" s="304">
        <f t="shared" ca="1" si="204"/>
        <v>73.37879999999997</v>
      </c>
      <c r="U459" s="311">
        <f t="shared" ca="1" si="205"/>
        <v>0</v>
      </c>
      <c r="V459" s="306">
        <f t="shared" ca="1" si="206"/>
        <v>1.1323739337319276</v>
      </c>
      <c r="W459" s="304">
        <f t="shared" ca="1" si="207"/>
        <v>33.533249617130451</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5.2256794545289589</v>
      </c>
      <c r="AH459" s="304">
        <f t="shared" ca="1" si="231"/>
        <v>-4.4304648294731086</v>
      </c>
    </row>
    <row r="460" spans="1:34" x14ac:dyDescent="0.2">
      <c r="A460" s="347">
        <f t="shared" ca="1" si="209"/>
        <v>0.1</v>
      </c>
      <c r="B460" s="304">
        <f t="shared" ca="1" si="210"/>
        <v>27.600000000000126</v>
      </c>
      <c r="D460" s="306">
        <f t="shared" ca="1" si="211"/>
        <v>-0.78295850954634139</v>
      </c>
      <c r="E460" s="307">
        <f t="shared" ca="1" si="212"/>
        <v>-5.3958459510039889</v>
      </c>
      <c r="F460" s="304">
        <f t="shared" ca="1" si="213"/>
        <v>5.4523552300484948</v>
      </c>
      <c r="G460" s="306">
        <f t="shared" ca="1" si="214"/>
        <v>16.795372889369741</v>
      </c>
      <c r="H460" s="307">
        <f t="shared" ca="1" si="215"/>
        <v>-95.6697508598197</v>
      </c>
      <c r="I460" s="304">
        <f t="shared" ca="1" si="216"/>
        <v>97.132825450889413</v>
      </c>
      <c r="J460" s="306">
        <f t="shared" ca="1" si="217"/>
        <v>686.56833604906524</v>
      </c>
      <c r="K460" s="307">
        <f t="shared" ca="1" si="218"/>
        <v>776.30110421428731</v>
      </c>
      <c r="L460" s="304">
        <f t="shared" ca="1" si="203"/>
        <v>1036.3491132188535</v>
      </c>
      <c r="M460" s="306">
        <f t="shared" ca="1" si="219"/>
        <v>-1.3970114954032467</v>
      </c>
      <c r="N460" s="304">
        <f t="shared" ca="1" si="220"/>
        <v>-80.042862617865836</v>
      </c>
      <c r="P460" s="310">
        <f t="shared" ca="1" si="221"/>
        <v>23</v>
      </c>
      <c r="Q460" s="304">
        <f t="shared" ca="1" si="222"/>
        <v>0</v>
      </c>
      <c r="R460" s="306">
        <f t="shared" ca="1" si="223"/>
        <v>0</v>
      </c>
      <c r="S460" s="307">
        <f t="shared" ca="1" si="224"/>
        <v>7.4799999999999969</v>
      </c>
      <c r="T460" s="304">
        <f t="shared" ca="1" si="204"/>
        <v>73.37879999999997</v>
      </c>
      <c r="U460" s="311">
        <f t="shared" ca="1" si="205"/>
        <v>0</v>
      </c>
      <c r="V460" s="306">
        <f t="shared" ca="1" si="206"/>
        <v>1.1334563851965349</v>
      </c>
      <c r="W460" s="304">
        <f t="shared" ca="1" si="207"/>
        <v>33.926027264981492</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5.176173939079713</v>
      </c>
      <c r="AH460" s="304">
        <f t="shared" ca="1" si="231"/>
        <v>-4.4830547616484582</v>
      </c>
    </row>
    <row r="461" spans="1:34" x14ac:dyDescent="0.2">
      <c r="A461" s="347">
        <f t="shared" ca="1" si="209"/>
        <v>0.1</v>
      </c>
      <c r="B461" s="304">
        <f t="shared" ca="1" si="210"/>
        <v>27.700000000000127</v>
      </c>
      <c r="D461" s="306">
        <f t="shared" ca="1" si="211"/>
        <v>-0.78425092111386752</v>
      </c>
      <c r="E461" s="307">
        <f t="shared" ca="1" si="212"/>
        <v>-5.3427523402570101</v>
      </c>
      <c r="F461" s="304">
        <f t="shared" ca="1" si="213"/>
        <v>5.400004821904302</v>
      </c>
      <c r="G461" s="306">
        <f t="shared" ca="1" si="214"/>
        <v>16.716947797258353</v>
      </c>
      <c r="H461" s="307">
        <f t="shared" ca="1" si="215"/>
        <v>-96.2040260938454</v>
      </c>
      <c r="I461" s="304">
        <f t="shared" ca="1" si="216"/>
        <v>97.645639842860092</v>
      </c>
      <c r="J461" s="306">
        <f t="shared" ca="1" si="217"/>
        <v>688.24395208339661</v>
      </c>
      <c r="K461" s="307">
        <f t="shared" ca="1" si="218"/>
        <v>766.7074153666041</v>
      </c>
      <c r="L461" s="304">
        <f t="shared" ca="1" si="203"/>
        <v>1030.3009261169821</v>
      </c>
      <c r="M461" s="306">
        <f t="shared" ca="1" si="219"/>
        <v>-1.3987486561155904</v>
      </c>
      <c r="N461" s="304">
        <f t="shared" ca="1" si="220"/>
        <v>-80.14239459501907</v>
      </c>
      <c r="P461" s="310">
        <f t="shared" ca="1" si="221"/>
        <v>23</v>
      </c>
      <c r="Q461" s="304">
        <f t="shared" ca="1" si="222"/>
        <v>0</v>
      </c>
      <c r="R461" s="306">
        <f t="shared" ca="1" si="223"/>
        <v>0</v>
      </c>
      <c r="S461" s="307">
        <f t="shared" ca="1" si="224"/>
        <v>7.4799999999999969</v>
      </c>
      <c r="T461" s="304">
        <f t="shared" ca="1" si="204"/>
        <v>73.37879999999997</v>
      </c>
      <c r="U461" s="311">
        <f t="shared" ca="1" si="205"/>
        <v>0</v>
      </c>
      <c r="V461" s="306">
        <f t="shared" ca="1" si="206"/>
        <v>1.1345459318573436</v>
      </c>
      <c r="W461" s="304">
        <f t="shared" ca="1" si="207"/>
        <v>34.318155964508428</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5.1266705804922914</v>
      </c>
      <c r="AH461" s="304">
        <f t="shared" ca="1" si="231"/>
        <v>-4.535565142377207</v>
      </c>
    </row>
    <row r="462" spans="1:34" x14ac:dyDescent="0.2">
      <c r="A462" s="347">
        <f t="shared" ca="1" si="209"/>
        <v>0.1</v>
      </c>
      <c r="B462" s="304">
        <f t="shared" ca="1" si="210"/>
        <v>27.800000000000129</v>
      </c>
      <c r="D462" s="306">
        <f t="shared" ca="1" si="211"/>
        <v>-0.78546434646236896</v>
      </c>
      <c r="E462" s="307">
        <f t="shared" ca="1" si="212"/>
        <v>-5.2897470567417901</v>
      </c>
      <c r="F462" s="304">
        <f t="shared" ca="1" si="213"/>
        <v>5.3477451476180109</v>
      </c>
      <c r="G462" s="306">
        <f t="shared" ca="1" si="214"/>
        <v>16.638401362612115</v>
      </c>
      <c r="H462" s="307">
        <f t="shared" ca="1" si="215"/>
        <v>-96.733000799519573</v>
      </c>
      <c r="I462" s="304">
        <f t="shared" ca="1" si="216"/>
        <v>98.153501433128852</v>
      </c>
      <c r="J462" s="306">
        <f t="shared" ca="1" si="217"/>
        <v>689.91171954139008</v>
      </c>
      <c r="K462" s="307">
        <f t="shared" ca="1" si="218"/>
        <v>757.06056402193587</v>
      </c>
      <c r="L462" s="304">
        <f t="shared" ca="1" si="203"/>
        <v>1024.2650430224442</v>
      </c>
      <c r="M462" s="306">
        <f t="shared" ca="1" si="219"/>
        <v>-1.4004597252341071</v>
      </c>
      <c r="N462" s="304">
        <f t="shared" ca="1" si="220"/>
        <v>-80.240431633965258</v>
      </c>
      <c r="P462" s="310">
        <f t="shared" ca="1" si="221"/>
        <v>23</v>
      </c>
      <c r="Q462" s="304">
        <f t="shared" ca="1" si="222"/>
        <v>0</v>
      </c>
      <c r="R462" s="306">
        <f t="shared" ca="1" si="223"/>
        <v>0</v>
      </c>
      <c r="S462" s="307">
        <f t="shared" ca="1" si="224"/>
        <v>7.4799999999999969</v>
      </c>
      <c r="T462" s="304">
        <f t="shared" ca="1" si="204"/>
        <v>73.37879999999997</v>
      </c>
      <c r="U462" s="311">
        <f t="shared" ca="1" si="205"/>
        <v>0</v>
      </c>
      <c r="V462" s="306">
        <f t="shared" ca="1" si="206"/>
        <v>1.1356425316757686</v>
      </c>
      <c r="W462" s="304">
        <f t="shared" ca="1" si="207"/>
        <v>34.709582706352037</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5.0771790547743594</v>
      </c>
      <c r="AH462" s="304">
        <f t="shared" ca="1" si="231"/>
        <v>-4.5879887653086149</v>
      </c>
    </row>
    <row r="463" spans="1:34" x14ac:dyDescent="0.2">
      <c r="A463" s="347">
        <f t="shared" ca="1" si="209"/>
        <v>0.1</v>
      </c>
      <c r="B463" s="304">
        <f t="shared" ca="1" si="210"/>
        <v>27.90000000000013</v>
      </c>
      <c r="D463" s="306">
        <f t="shared" ca="1" si="211"/>
        <v>-0.78659936988480972</v>
      </c>
      <c r="E463" s="307">
        <f t="shared" ca="1" si="212"/>
        <v>-5.2368372412899156</v>
      </c>
      <c r="F463" s="304">
        <f t="shared" ca="1" si="213"/>
        <v>5.2955833352392965</v>
      </c>
      <c r="G463" s="306">
        <f t="shared" ca="1" si="214"/>
        <v>16.559741425623635</v>
      </c>
      <c r="H463" s="307">
        <f t="shared" ca="1" si="215"/>
        <v>-97.256684523648559</v>
      </c>
      <c r="I463" s="304">
        <f t="shared" ca="1" si="216"/>
        <v>98.656412465769378</v>
      </c>
      <c r="J463" s="306">
        <f t="shared" ca="1" si="217"/>
        <v>691.57162668080184</v>
      </c>
      <c r="K463" s="307">
        <f t="shared" ca="1" si="218"/>
        <v>747.3610797557775</v>
      </c>
      <c r="L463" s="304">
        <f t="shared" ca="1" si="203"/>
        <v>1018.2435358811034</v>
      </c>
      <c r="M463" s="306">
        <f t="shared" ca="1" si="219"/>
        <v>-1.4021453064928211</v>
      </c>
      <c r="N463" s="304">
        <f t="shared" ca="1" si="220"/>
        <v>-80.337008326115907</v>
      </c>
      <c r="P463" s="310">
        <f t="shared" ca="1" si="221"/>
        <v>23</v>
      </c>
      <c r="Q463" s="304">
        <f t="shared" ca="1" si="222"/>
        <v>0</v>
      </c>
      <c r="R463" s="306">
        <f t="shared" ca="1" si="223"/>
        <v>0</v>
      </c>
      <c r="S463" s="307">
        <f t="shared" ca="1" si="224"/>
        <v>7.4799999999999969</v>
      </c>
      <c r="T463" s="304">
        <f t="shared" ca="1" si="204"/>
        <v>73.37879999999997</v>
      </c>
      <c r="U463" s="311">
        <f t="shared" ca="1" si="205"/>
        <v>0</v>
      </c>
      <c r="V463" s="306">
        <f t="shared" ca="1" si="206"/>
        <v>1.1367461426365069</v>
      </c>
      <c r="W463" s="304">
        <f t="shared" ca="1" si="207"/>
        <v>35.100255380656378</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5.0277088215455956</v>
      </c>
      <c r="AH463" s="304">
        <f t="shared" ca="1" si="231"/>
        <v>-4.6403185436299532</v>
      </c>
    </row>
    <row r="464" spans="1:34" x14ac:dyDescent="0.2">
      <c r="A464" s="347">
        <f t="shared" ca="1" si="209"/>
        <v>0.1</v>
      </c>
      <c r="B464" s="304">
        <f t="shared" ca="1" si="210"/>
        <v>28.000000000000131</v>
      </c>
      <c r="D464" s="306">
        <f t="shared" ca="1" si="211"/>
        <v>-0.7876565898134732</v>
      </c>
      <c r="E464" s="307">
        <f t="shared" ca="1" si="212"/>
        <v>-5.1840299139014547</v>
      </c>
      <c r="F464" s="304">
        <f t="shared" ca="1" si="213"/>
        <v>5.2435263946796073</v>
      </c>
      <c r="G464" s="306">
        <f t="shared" ca="1" si="214"/>
        <v>16.480975766642288</v>
      </c>
      <c r="H464" s="307">
        <f t="shared" ca="1" si="215"/>
        <v>-97.775087515038706</v>
      </c>
      <c r="I464" s="304">
        <f t="shared" ca="1" si="216"/>
        <v>99.154376105112618</v>
      </c>
      <c r="J464" s="306">
        <f t="shared" ca="1" si="217"/>
        <v>693.22366254041515</v>
      </c>
      <c r="K464" s="307">
        <f t="shared" ca="1" si="218"/>
        <v>737.60949115384312</v>
      </c>
      <c r="L464" s="304">
        <f t="shared" ca="1" si="203"/>
        <v>1012.2385132695647</v>
      </c>
      <c r="M464" s="306">
        <f t="shared" ca="1" si="219"/>
        <v>-1.4038059849548001</v>
      </c>
      <c r="N464" s="304">
        <f t="shared" ca="1" si="220"/>
        <v>-80.432158193115583</v>
      </c>
      <c r="P464" s="310">
        <f t="shared" ca="1" si="221"/>
        <v>23</v>
      </c>
      <c r="Q464" s="304">
        <f t="shared" ca="1" si="222"/>
        <v>0</v>
      </c>
      <c r="R464" s="306">
        <f t="shared" ca="1" si="223"/>
        <v>0</v>
      </c>
      <c r="S464" s="307">
        <f t="shared" ca="1" si="224"/>
        <v>7.4799999999999969</v>
      </c>
      <c r="T464" s="304">
        <f t="shared" ca="1" si="204"/>
        <v>73.37879999999997</v>
      </c>
      <c r="U464" s="311">
        <f t="shared" ca="1" si="205"/>
        <v>0</v>
      </c>
      <c r="V464" s="306">
        <f t="shared" ca="1" si="206"/>
        <v>1.137856722753035</v>
      </c>
      <c r="W464" s="304">
        <f t="shared" ca="1" si="207"/>
        <v>35.490122781883947</v>
      </c>
      <c r="Y464" s="314" t="str">
        <f t="shared" ca="1" si="225"/>
        <v/>
      </c>
      <c r="Z464" s="315" t="str">
        <f t="shared" ca="1" si="226"/>
        <v/>
      </c>
      <c r="AA464" s="316" t="str">
        <f t="shared" ca="1" si="227"/>
        <v/>
      </c>
      <c r="AC464" s="310">
        <f t="shared" ca="1" si="228"/>
        <v>28.000000000000131</v>
      </c>
      <c r="AD464" s="323">
        <f t="shared" ca="1" si="229"/>
        <v>693.22366254041515</v>
      </c>
      <c r="AE464" s="324" t="e">
        <f t="shared" ca="1" si="208"/>
        <v>#N/A</v>
      </c>
      <c r="AG464" s="306">
        <f t="shared" ca="1" si="230"/>
        <v>4.9782691278013012</v>
      </c>
      <c r="AH464" s="304">
        <f t="shared" ca="1" si="231"/>
        <v>-4.6925475107829406</v>
      </c>
    </row>
    <row r="465" spans="1:34" x14ac:dyDescent="0.2">
      <c r="A465" s="347">
        <f t="shared" ca="1" si="209"/>
        <v>0.1</v>
      </c>
      <c r="B465" s="304">
        <f t="shared" ca="1" si="210"/>
        <v>28.100000000000133</v>
      </c>
      <c r="D465" s="306">
        <f t="shared" ca="1" si="211"/>
        <v>-0.7886366183023531</v>
      </c>
      <c r="E465" s="307">
        <f t="shared" ca="1" si="212"/>
        <v>-5.1313319730651878</v>
      </c>
      <c r="F465" s="304">
        <f t="shared" ca="1" si="213"/>
        <v>5.1915812170790945</v>
      </c>
      <c r="G465" s="306">
        <f t="shared" ca="1" si="214"/>
        <v>16.402112104812051</v>
      </c>
      <c r="H465" s="307">
        <f t="shared" ca="1" si="215"/>
        <v>-98.288220712345222</v>
      </c>
      <c r="I465" s="304">
        <f t="shared" ca="1" si="216"/>
        <v>99.647396415046941</v>
      </c>
      <c r="J465" s="306">
        <f t="shared" ca="1" si="217"/>
        <v>694.86781693398791</v>
      </c>
      <c r="K465" s="307">
        <f t="shared" ca="1" si="218"/>
        <v>727.80632574247397</v>
      </c>
      <c r="L465" s="304">
        <f t="shared" ca="1" si="203"/>
        <v>1006.2521208928538</v>
      </c>
      <c r="M465" s="306">
        <f t="shared" ca="1" si="219"/>
        <v>-1.4054423277168338</v>
      </c>
      <c r="N465" s="304">
        <f t="shared" ca="1" si="220"/>
        <v>-80.525913727216889</v>
      </c>
      <c r="P465" s="310">
        <f t="shared" ca="1" si="221"/>
        <v>23</v>
      </c>
      <c r="Q465" s="304">
        <f t="shared" ca="1" si="222"/>
        <v>0</v>
      </c>
      <c r="R465" s="306">
        <f t="shared" ca="1" si="223"/>
        <v>0</v>
      </c>
      <c r="S465" s="307">
        <f t="shared" ca="1" si="224"/>
        <v>7.4799999999999969</v>
      </c>
      <c r="T465" s="304">
        <f t="shared" ca="1" si="204"/>
        <v>73.37879999999997</v>
      </c>
      <c r="U465" s="311">
        <f t="shared" ca="1" si="205"/>
        <v>0</v>
      </c>
      <c r="V465" s="306">
        <f t="shared" ca="1" si="206"/>
        <v>1.1389742300730328</v>
      </c>
      <c r="W465" s="304">
        <f t="shared" ca="1" si="207"/>
        <v>35.879134613094024</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4.9288690115114129</v>
      </c>
      <c r="AH465" s="304">
        <f t="shared" ca="1" si="231"/>
        <v>-4.7446688211074814</v>
      </c>
    </row>
    <row r="466" spans="1:34" x14ac:dyDescent="0.2">
      <c r="A466" s="347">
        <f t="shared" ca="1" si="209"/>
        <v>0.1</v>
      </c>
      <c r="B466" s="304">
        <f t="shared" ca="1" si="210"/>
        <v>28.200000000000134</v>
      </c>
      <c r="D466" s="306">
        <f t="shared" ca="1" si="211"/>
        <v>-0.78954008051571944</v>
      </c>
      <c r="E466" s="307">
        <f t="shared" ca="1" si="212"/>
        <v>-5.0787501951529235</v>
      </c>
      <c r="F466" s="304">
        <f t="shared" ca="1" si="213"/>
        <v>5.1397545742483297</v>
      </c>
      <c r="G466" s="306">
        <f t="shared" ca="1" si="214"/>
        <v>16.32315809676048</v>
      </c>
      <c r="H466" s="307">
        <f t="shared" ca="1" si="215"/>
        <v>-98.796095731860518</v>
      </c>
      <c r="I466" s="304">
        <f t="shared" ca="1" si="216"/>
        <v>100.1354783386527</v>
      </c>
      <c r="J466" s="306">
        <f t="shared" ca="1" si="217"/>
        <v>696.50408044406652</v>
      </c>
      <c r="K466" s="307">
        <f t="shared" ca="1" si="218"/>
        <v>717.95210992026364</v>
      </c>
      <c r="L466" s="304">
        <f t="shared" ca="1" si="203"/>
        <v>1000.2865420539222</v>
      </c>
      <c r="M466" s="306">
        <f t="shared" ca="1" si="219"/>
        <v>-1.407054884582936</v>
      </c>
      <c r="N466" s="304">
        <f t="shared" ca="1" si="220"/>
        <v>-80.618306429869392</v>
      </c>
      <c r="P466" s="310">
        <f t="shared" ca="1" si="221"/>
        <v>23</v>
      </c>
      <c r="Q466" s="304">
        <f t="shared" ca="1" si="222"/>
        <v>0</v>
      </c>
      <c r="R466" s="306">
        <f t="shared" ca="1" si="223"/>
        <v>0</v>
      </c>
      <c r="S466" s="307">
        <f t="shared" ca="1" si="224"/>
        <v>7.4799999999999969</v>
      </c>
      <c r="T466" s="304">
        <f t="shared" ca="1" si="204"/>
        <v>73.37879999999997</v>
      </c>
      <c r="U466" s="311">
        <f t="shared" ca="1" si="205"/>
        <v>0</v>
      </c>
      <c r="V466" s="306">
        <f t="shared" ca="1" si="206"/>
        <v>1.1400986226837351</v>
      </c>
      <c r="W466" s="304">
        <f t="shared" ca="1" si="207"/>
        <v>36.267241489693028</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4.8795173050680303</v>
      </c>
      <c r="AH466" s="304">
        <f t="shared" ca="1" si="231"/>
        <v>-4.7966757504136419</v>
      </c>
    </row>
    <row r="467" spans="1:34" x14ac:dyDescent="0.2">
      <c r="A467" s="347">
        <f t="shared" ca="1" si="209"/>
        <v>0.1</v>
      </c>
      <c r="B467" s="304">
        <f t="shared" ca="1" si="210"/>
        <v>28.300000000000136</v>
      </c>
      <c r="D467" s="306">
        <f t="shared" ca="1" si="211"/>
        <v>-0.79036761422289836</v>
      </c>
      <c r="E467" s="307">
        <f t="shared" ca="1" si="212"/>
        <v>-5.0262912338866235</v>
      </c>
      <c r="F467" s="304">
        <f t="shared" ca="1" si="213"/>
        <v>5.0880531181836055</v>
      </c>
      <c r="G467" s="306">
        <f t="shared" ca="1" si="214"/>
        <v>16.244121335338189</v>
      </c>
      <c r="H467" s="307">
        <f t="shared" ca="1" si="215"/>
        <v>-99.298724855249176</v>
      </c>
      <c r="I467" s="304">
        <f t="shared" ca="1" si="216"/>
        <v>100.61862767815744</v>
      </c>
      <c r="J467" s="306">
        <f t="shared" ca="1" si="217"/>
        <v>698.13244441567144</v>
      </c>
      <c r="K467" s="307">
        <f t="shared" ca="1" si="218"/>
        <v>708.04736889090816</v>
      </c>
      <c r="L467" s="304">
        <f t="shared" ca="1" si="203"/>
        <v>994.34399809077047</v>
      </c>
      <c r="M467" s="306">
        <f t="shared" ca="1" si="219"/>
        <v>-1.4086441887082508</v>
      </c>
      <c r="N467" s="304">
        <f t="shared" ca="1" si="220"/>
        <v>-80.70936684861266</v>
      </c>
      <c r="P467" s="310">
        <f t="shared" ca="1" si="221"/>
        <v>23</v>
      </c>
      <c r="Q467" s="304">
        <f t="shared" ca="1" si="222"/>
        <v>0</v>
      </c>
      <c r="R467" s="306">
        <f t="shared" ca="1" si="223"/>
        <v>0</v>
      </c>
      <c r="S467" s="307">
        <f t="shared" ca="1" si="224"/>
        <v>7.4799999999999969</v>
      </c>
      <c r="T467" s="304">
        <f t="shared" ca="1" si="204"/>
        <v>73.37879999999997</v>
      </c>
      <c r="U467" s="311">
        <f t="shared" ca="1" si="205"/>
        <v>0</v>
      </c>
      <c r="V467" s="306">
        <f t="shared" ca="1" si="206"/>
        <v>1.1412298587172089</v>
      </c>
      <c r="W467" s="304">
        <f t="shared" ca="1" si="207"/>
        <v>36.654394942664503</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4.8302226385935514</v>
      </c>
      <c r="AH467" s="304">
        <f t="shared" ca="1" si="231"/>
        <v>-4.8485616964830269</v>
      </c>
    </row>
    <row r="468" spans="1:34" x14ac:dyDescent="0.2">
      <c r="A468" s="347">
        <f t="shared" ca="1" si="209"/>
        <v>0.1</v>
      </c>
      <c r="B468" s="304">
        <f t="shared" ca="1" si="210"/>
        <v>28.400000000000137</v>
      </c>
      <c r="D468" s="306">
        <f t="shared" ca="1" si="211"/>
        <v>-0.79111986929925271</v>
      </c>
      <c r="E468" s="307">
        <f t="shared" ca="1" si="212"/>
        <v>-4.9739616198771994</v>
      </c>
      <c r="F468" s="304">
        <f t="shared" ca="1" si="213"/>
        <v>5.0364833806547482</v>
      </c>
      <c r="G468" s="306">
        <f t="shared" ca="1" si="214"/>
        <v>16.165009348408265</v>
      </c>
      <c r="H468" s="307">
        <f t="shared" ca="1" si="215"/>
        <v>-99.796121017236899</v>
      </c>
      <c r="I468" s="304">
        <f t="shared" ca="1" si="216"/>
        <v>101.09685107519977</v>
      </c>
      <c r="J468" s="306">
        <f t="shared" ca="1" si="217"/>
        <v>699.75290094985871</v>
      </c>
      <c r="K468" s="307">
        <f t="shared" ca="1" si="218"/>
        <v>698.09262659728381</v>
      </c>
      <c r="L468" s="304">
        <f t="shared" ca="1" si="203"/>
        <v>988.4267487766798</v>
      </c>
      <c r="M468" s="306">
        <f t="shared" ca="1" si="219"/>
        <v>-1.4102107572148375</v>
      </c>
      <c r="N468" s="304">
        <f t="shared" ca="1" si="220"/>
        <v>-80.799124612358199</v>
      </c>
      <c r="P468" s="310">
        <f t="shared" ca="1" si="221"/>
        <v>23</v>
      </c>
      <c r="Q468" s="304">
        <f t="shared" ca="1" si="222"/>
        <v>0</v>
      </c>
      <c r="R468" s="306">
        <f t="shared" ca="1" si="223"/>
        <v>0</v>
      </c>
      <c r="S468" s="307">
        <f t="shared" ca="1" si="224"/>
        <v>7.4799999999999969</v>
      </c>
      <c r="T468" s="304">
        <f t="shared" ca="1" si="204"/>
        <v>73.37879999999997</v>
      </c>
      <c r="U468" s="311">
        <f t="shared" ca="1" si="205"/>
        <v>0</v>
      </c>
      <c r="V468" s="306">
        <f t="shared" ca="1" si="206"/>
        <v>1.1423678963555532</v>
      </c>
      <c r="W468" s="304">
        <f t="shared" ca="1" si="207"/>
        <v>37.040547421287435</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4.7809934431205781</v>
      </c>
      <c r="AH468" s="304">
        <f t="shared" ca="1" si="231"/>
        <v>-4.9003201795006044</v>
      </c>
    </row>
    <row r="469" spans="1:34" x14ac:dyDescent="0.2">
      <c r="A469" s="347">
        <f t="shared" ca="1" si="209"/>
        <v>0.1</v>
      </c>
      <c r="B469" s="304">
        <f t="shared" ca="1" si="210"/>
        <v>28.500000000000139</v>
      </c>
      <c r="D469" s="306">
        <f t="shared" ca="1" si="211"/>
        <v>-0.79179750723341313</v>
      </c>
      <c r="E469" s="307">
        <f t="shared" ca="1" si="212"/>
        <v>-4.9217677602337409</v>
      </c>
      <c r="F469" s="304">
        <f t="shared" ca="1" si="213"/>
        <v>4.9850517728642805</v>
      </c>
      <c r="G469" s="306">
        <f t="shared" ca="1" si="214"/>
        <v>16.085829597684924</v>
      </c>
      <c r="H469" s="307">
        <f t="shared" ca="1" si="215"/>
        <v>-100.28829779326027</v>
      </c>
      <c r="I469" s="304">
        <f t="shared" ca="1" si="216"/>
        <v>101.57015599139055</v>
      </c>
      <c r="J469" s="306">
        <f t="shared" ca="1" si="217"/>
        <v>701.36544289716335</v>
      </c>
      <c r="K469" s="307">
        <f t="shared" ca="1" si="218"/>
        <v>688.08840565675894</v>
      </c>
      <c r="L469" s="304">
        <f t="shared" ca="1" si="203"/>
        <v>982.53709267874183</v>
      </c>
      <c r="M469" s="306">
        <f t="shared" ca="1" si="219"/>
        <v>-1.4117550917807413</v>
      </c>
      <c r="N469" s="304">
        <f t="shared" ca="1" si="220"/>
        <v>-80.887608465140659</v>
      </c>
      <c r="P469" s="310">
        <f t="shared" ca="1" si="221"/>
        <v>23</v>
      </c>
      <c r="Q469" s="304">
        <f t="shared" ca="1" si="222"/>
        <v>0</v>
      </c>
      <c r="R469" s="306">
        <f t="shared" ca="1" si="223"/>
        <v>0</v>
      </c>
      <c r="S469" s="307">
        <f t="shared" ca="1" si="224"/>
        <v>7.4799999999999969</v>
      </c>
      <c r="T469" s="304">
        <f t="shared" ca="1" si="204"/>
        <v>73.37879999999997</v>
      </c>
      <c r="U469" s="311">
        <f t="shared" ca="1" si="205"/>
        <v>0</v>
      </c>
      <c r="V469" s="306">
        <f t="shared" ca="1" si="206"/>
        <v>1.1435126938360287</v>
      </c>
      <c r="W469" s="304">
        <f t="shared" ca="1" si="207"/>
        <v>37.425652295352002</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4.7318379536541029</v>
      </c>
      <c r="AH469" s="304">
        <f t="shared" ca="1" si="231"/>
        <v>-4.9519448424181087</v>
      </c>
    </row>
    <row r="470" spans="1:34" x14ac:dyDescent="0.2">
      <c r="A470" s="347">
        <f t="shared" ca="1" si="209"/>
        <v>0.1</v>
      </c>
      <c r="B470" s="304">
        <f t="shared" ca="1" si="210"/>
        <v>28.60000000000014</v>
      </c>
      <c r="D470" s="306">
        <f t="shared" ca="1" si="211"/>
        <v>-0.79240120064078801</v>
      </c>
      <c r="E470" s="307">
        <f t="shared" ca="1" si="212"/>
        <v>-4.8697159382418498</v>
      </c>
      <c r="F470" s="304">
        <f t="shared" ca="1" si="213"/>
        <v>4.933764585176684</v>
      </c>
      <c r="G470" s="306">
        <f t="shared" ca="1" si="214"/>
        <v>16.006589477620846</v>
      </c>
      <c r="H470" s="307">
        <f t="shared" ca="1" si="215"/>
        <v>-100.77526938708445</v>
      </c>
      <c r="I470" s="304">
        <f t="shared" ca="1" si="216"/>
        <v>102.03855068916121</v>
      </c>
      <c r="J470" s="306">
        <f t="shared" ca="1" si="217"/>
        <v>702.97006385092868</v>
      </c>
      <c r="K470" s="307">
        <f t="shared" ca="1" si="218"/>
        <v>678.0352272977417</v>
      </c>
      <c r="L470" s="304">
        <f t="shared" ca="1" si="203"/>
        <v>976.67736746956462</v>
      </c>
      <c r="M470" s="306">
        <f t="shared" ca="1" si="219"/>
        <v>-1.4132776792036739</v>
      </c>
      <c r="N470" s="304">
        <f t="shared" ca="1" si="220"/>
        <v>-80.974846298414391</v>
      </c>
      <c r="P470" s="310">
        <f t="shared" ca="1" si="221"/>
        <v>23</v>
      </c>
      <c r="Q470" s="304">
        <f t="shared" ca="1" si="222"/>
        <v>0</v>
      </c>
      <c r="R470" s="306">
        <f t="shared" ca="1" si="223"/>
        <v>0</v>
      </c>
      <c r="S470" s="307">
        <f t="shared" ca="1" si="224"/>
        <v>7.4799999999999969</v>
      </c>
      <c r="T470" s="304">
        <f t="shared" ca="1" si="204"/>
        <v>73.37879999999997</v>
      </c>
      <c r="U470" s="311">
        <f t="shared" ca="1" si="205"/>
        <v>0</v>
      </c>
      <c r="V470" s="306">
        <f t="shared" ca="1" si="206"/>
        <v>1.1446642094561053</v>
      </c>
      <c r="W470" s="304">
        <f t="shared" ca="1" si="207"/>
        <v>37.809663856880967</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4.6827642121253774</v>
      </c>
      <c r="AH470" s="304">
        <f t="shared" ca="1" si="231"/>
        <v>-5.0034294512502697</v>
      </c>
    </row>
    <row r="471" spans="1:34" x14ac:dyDescent="0.2">
      <c r="A471" s="347">
        <f t="shared" ca="1" si="209"/>
        <v>0.1</v>
      </c>
      <c r="B471" s="304">
        <f t="shared" ca="1" si="210"/>
        <v>28.700000000000141</v>
      </c>
      <c r="D471" s="306">
        <f t="shared" ca="1" si="211"/>
        <v>-0.7929316327833551</v>
      </c>
      <c r="E471" s="307">
        <f t="shared" ca="1" si="212"/>
        <v>-4.8178123131099042</v>
      </c>
      <c r="F471" s="304">
        <f t="shared" ca="1" si="213"/>
        <v>4.8826279869166651</v>
      </c>
      <c r="G471" s="306">
        <f t="shared" ca="1" si="214"/>
        <v>15.927296314342511</v>
      </c>
      <c r="H471" s="307">
        <f t="shared" ca="1" si="215"/>
        <v>-101.25705061839544</v>
      </c>
      <c r="I471" s="304">
        <f t="shared" ca="1" si="216"/>
        <v>102.50204421288956</v>
      </c>
      <c r="J471" s="306">
        <f t="shared" ca="1" si="217"/>
        <v>704.56675814052687</v>
      </c>
      <c r="K471" s="307">
        <f t="shared" ca="1" si="218"/>
        <v>667.93361129746768</v>
      </c>
      <c r="L471" s="304">
        <f t="shared" ca="1" si="203"/>
        <v>970.84995018670543</v>
      </c>
      <c r="M471" s="306">
        <f t="shared" ca="1" si="219"/>
        <v>-1.4147789919405473</v>
      </c>
      <c r="N471" s="304">
        <f t="shared" ca="1" si="220"/>
        <v>-81.060865181966477</v>
      </c>
      <c r="P471" s="310">
        <f t="shared" ca="1" si="221"/>
        <v>23</v>
      </c>
      <c r="Q471" s="304">
        <f t="shared" ca="1" si="222"/>
        <v>0</v>
      </c>
      <c r="R471" s="306">
        <f t="shared" ca="1" si="223"/>
        <v>0</v>
      </c>
      <c r="S471" s="307">
        <f t="shared" ca="1" si="224"/>
        <v>7.4799999999999969</v>
      </c>
      <c r="T471" s="304">
        <f t="shared" ca="1" si="204"/>
        <v>73.37879999999997</v>
      </c>
      <c r="U471" s="311">
        <f t="shared" ca="1" si="205"/>
        <v>0</v>
      </c>
      <c r="V471" s="306">
        <f t="shared" ca="1" si="206"/>
        <v>1.1458224015784391</v>
      </c>
      <c r="W471" s="304">
        <f t="shared" ca="1" si="207"/>
        <v>38.192537321366686</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4.6337800702465737</v>
      </c>
      <c r="AH471" s="304">
        <f t="shared" ca="1" si="231"/>
        <v>-5.054767895304944</v>
      </c>
    </row>
    <row r="472" spans="1:34" x14ac:dyDescent="0.2">
      <c r="A472" s="347">
        <f t="shared" ca="1" si="209"/>
        <v>0.1</v>
      </c>
      <c r="B472" s="304">
        <f t="shared" ca="1" si="210"/>
        <v>28.800000000000143</v>
      </c>
      <c r="D472" s="306">
        <f t="shared" ca="1" si="211"/>
        <v>-0.79338949709581374</v>
      </c>
      <c r="E472" s="307">
        <f t="shared" ca="1" si="212"/>
        <v>-4.7660629197818478</v>
      </c>
      <c r="F472" s="304">
        <f t="shared" ca="1" si="213"/>
        <v>4.8316480262350883</v>
      </c>
      <c r="G472" s="306">
        <f t="shared" ca="1" si="214"/>
        <v>15.847957364632929</v>
      </c>
      <c r="H472" s="307">
        <f t="shared" ca="1" si="215"/>
        <v>-101.73365691037363</v>
      </c>
      <c r="I472" s="304">
        <f t="shared" ca="1" si="216"/>
        <v>102.96064637029448</v>
      </c>
      <c r="J472" s="306">
        <f t="shared" ca="1" si="217"/>
        <v>706.15552082447562</v>
      </c>
      <c r="K472" s="307">
        <f t="shared" ca="1" si="218"/>
        <v>657.78407592102917</v>
      </c>
      <c r="L472" s="304">
        <f t="shared" ca="1" si="203"/>
        <v>965.05725743406992</v>
      </c>
      <c r="M472" s="306">
        <f t="shared" ca="1" si="219"/>
        <v>-1.4162594886240503</v>
      </c>
      <c r="N472" s="304">
        <f t="shared" ca="1" si="220"/>
        <v>-81.145691393514312</v>
      </c>
      <c r="P472" s="310">
        <f t="shared" ca="1" si="221"/>
        <v>23</v>
      </c>
      <c r="Q472" s="304">
        <f t="shared" ca="1" si="222"/>
        <v>0</v>
      </c>
      <c r="R472" s="306">
        <f t="shared" ca="1" si="223"/>
        <v>0</v>
      </c>
      <c r="S472" s="307">
        <f t="shared" ca="1" si="224"/>
        <v>7.4799999999999969</v>
      </c>
      <c r="T472" s="304">
        <f t="shared" ca="1" si="204"/>
        <v>73.37879999999997</v>
      </c>
      <c r="U472" s="311">
        <f t="shared" ca="1" si="205"/>
        <v>0</v>
      </c>
      <c r="V472" s="306">
        <f t="shared" ca="1" si="206"/>
        <v>1.146987228635767</v>
      </c>
      <c r="W472" s="304">
        <f t="shared" ca="1" si="207"/>
        <v>38.574228828532306</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4.5848931922742935</v>
      </c>
      <c r="AH472" s="304">
        <f t="shared" ca="1" si="231"/>
        <v>-5.1059541873484893</v>
      </c>
    </row>
    <row r="473" spans="1:34" x14ac:dyDescent="0.2">
      <c r="A473" s="347">
        <f t="shared" ca="1" si="209"/>
        <v>0.1</v>
      </c>
      <c r="B473" s="304">
        <f t="shared" ca="1" si="210"/>
        <v>28.900000000000144</v>
      </c>
      <c r="D473" s="306">
        <f t="shared" ca="1" si="211"/>
        <v>-0.79377549671809478</v>
      </c>
      <c r="E473" s="307">
        <f t="shared" ca="1" si="212"/>
        <v>-4.7144736688152697</v>
      </c>
      <c r="F473" s="304">
        <f t="shared" ca="1" si="213"/>
        <v>4.7808306300414545</v>
      </c>
      <c r="G473" s="306">
        <f t="shared" ca="1" si="214"/>
        <v>15.76857981496112</v>
      </c>
      <c r="H473" s="307">
        <f t="shared" ca="1" si="215"/>
        <v>-102.20510427725515</v>
      </c>
      <c r="I473" s="304">
        <f t="shared" ca="1" si="216"/>
        <v>103.41436771409182</v>
      </c>
      <c r="J473" s="306">
        <f t="shared" ca="1" si="217"/>
        <v>707.73634768345528</v>
      </c>
      <c r="K473" s="307">
        <f t="shared" ca="1" si="218"/>
        <v>647.58713786164776</v>
      </c>
      <c r="L473" s="304">
        <f t="shared" ca="1" si="203"/>
        <v>959.30174551918617</v>
      </c>
      <c r="M473" s="306">
        <f t="shared" ca="1" si="219"/>
        <v>-1.4177196145573765</v>
      </c>
      <c r="N473" s="304">
        <f t="shared" ca="1" si="220"/>
        <v>-81.229350447051502</v>
      </c>
      <c r="P473" s="310">
        <f t="shared" ca="1" si="221"/>
        <v>23</v>
      </c>
      <c r="Q473" s="304">
        <f t="shared" ca="1" si="222"/>
        <v>0</v>
      </c>
      <c r="R473" s="306">
        <f t="shared" ca="1" si="223"/>
        <v>0</v>
      </c>
      <c r="S473" s="307">
        <f t="shared" ca="1" si="224"/>
        <v>7.4799999999999969</v>
      </c>
      <c r="T473" s="304">
        <f t="shared" ca="1" si="204"/>
        <v>73.37879999999997</v>
      </c>
      <c r="U473" s="311">
        <f t="shared" ca="1" si="205"/>
        <v>0</v>
      </c>
      <c r="V473" s="306">
        <f t="shared" ca="1" si="206"/>
        <v>1.1481586491357292</v>
      </c>
      <c r="W473" s="304">
        <f t="shared" ca="1" si="207"/>
        <v>38.954695442627333</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4.53611105768963</v>
      </c>
      <c r="AH473" s="304">
        <f t="shared" ca="1" si="231"/>
        <v>-5.1569824637075294</v>
      </c>
    </row>
    <row r="474" spans="1:34" x14ac:dyDescent="0.2">
      <c r="A474" s="347">
        <f t="shared" ca="1" si="209"/>
        <v>0.1</v>
      </c>
      <c r="B474" s="304">
        <f t="shared" ca="1" si="210"/>
        <v>29.000000000000146</v>
      </c>
      <c r="D474" s="306">
        <f t="shared" ca="1" si="211"/>
        <v>-0.79409034403429835</v>
      </c>
      <c r="E474" s="307">
        <f t="shared" ca="1" si="212"/>
        <v>-4.663050346323339</v>
      </c>
      <c r="F474" s="304">
        <f t="shared" ca="1" si="213"/>
        <v>4.7301816040015545</v>
      </c>
      <c r="G474" s="306">
        <f t="shared" ca="1" si="214"/>
        <v>15.68917078055769</v>
      </c>
      <c r="H474" s="307">
        <f t="shared" ca="1" si="215"/>
        <v>-102.67140931188747</v>
      </c>
      <c r="I474" s="304">
        <f t="shared" ca="1" si="216"/>
        <v>103.86321952390384</v>
      </c>
      <c r="J474" s="306">
        <f t="shared" ca="1" si="217"/>
        <v>709.3092352132312</v>
      </c>
      <c r="K474" s="307">
        <f t="shared" ca="1" si="218"/>
        <v>637.34331218219063</v>
      </c>
      <c r="L474" s="304">
        <f t="shared" ca="1" si="203"/>
        <v>953.58591051994063</v>
      </c>
      <c r="M474" s="306">
        <f t="shared" ca="1" si="219"/>
        <v>-1.4191598021881662</v>
      </c>
      <c r="N474" s="304">
        <f t="shared" ca="1" si="220"/>
        <v>-81.311867120002688</v>
      </c>
      <c r="P474" s="310">
        <f t="shared" ca="1" si="221"/>
        <v>23</v>
      </c>
      <c r="Q474" s="304">
        <f t="shared" ca="1" si="222"/>
        <v>0</v>
      </c>
      <c r="R474" s="306">
        <f t="shared" ca="1" si="223"/>
        <v>0</v>
      </c>
      <c r="S474" s="307">
        <f t="shared" ca="1" si="224"/>
        <v>7.4799999999999969</v>
      </c>
      <c r="T474" s="304">
        <f t="shared" ca="1" si="204"/>
        <v>73.37879999999997</v>
      </c>
      <c r="U474" s="311">
        <f t="shared" ca="1" si="205"/>
        <v>0</v>
      </c>
      <c r="V474" s="306">
        <f t="shared" ca="1" si="206"/>
        <v>1.1493366216656085</v>
      </c>
      <c r="W474" s="304">
        <f t="shared" ca="1" si="207"/>
        <v>39.333895152266678</v>
      </c>
      <c r="Y474" s="314" t="str">
        <f t="shared" ca="1" si="225"/>
        <v/>
      </c>
      <c r="Z474" s="315" t="str">
        <f t="shared" ca="1" si="226"/>
        <v/>
      </c>
      <c r="AA474" s="316" t="str">
        <f t="shared" ca="1" si="227"/>
        <v/>
      </c>
      <c r="AC474" s="310">
        <f t="shared" ca="1" si="228"/>
        <v>29.000000000000146</v>
      </c>
      <c r="AD474" s="323">
        <f t="shared" ca="1" si="229"/>
        <v>709.3092352132312</v>
      </c>
      <c r="AE474" s="324" t="e">
        <f t="shared" ca="1" si="208"/>
        <v>#N/A</v>
      </c>
      <c r="AG474" s="306">
        <f t="shared" ca="1" si="230"/>
        <v>4.4874409638017489</v>
      </c>
      <c r="AH474" s="304">
        <f t="shared" ca="1" si="231"/>
        <v>-5.2078469843084694</v>
      </c>
    </row>
    <row r="475" spans="1:34" x14ac:dyDescent="0.2">
      <c r="A475" s="347">
        <f t="shared" ca="1" si="209"/>
        <v>0.1</v>
      </c>
      <c r="B475" s="304">
        <f t="shared" ca="1" si="210"/>
        <v>29.100000000000147</v>
      </c>
      <c r="D475" s="306">
        <f t="shared" ca="1" si="211"/>
        <v>-0.79433476021807703</v>
      </c>
      <c r="E475" s="307">
        <f t="shared" ca="1" si="212"/>
        <v>-4.6117986139793183</v>
      </c>
      <c r="F475" s="304">
        <f t="shared" ca="1" si="213"/>
        <v>4.6797066325991281</v>
      </c>
      <c r="G475" s="306">
        <f t="shared" ca="1" si="214"/>
        <v>15.609737304535882</v>
      </c>
      <c r="H475" s="307">
        <f t="shared" ca="1" si="215"/>
        <v>-103.13258917328541</v>
      </c>
      <c r="I475" s="304">
        <f t="shared" ca="1" si="216"/>
        <v>104.30721378841584</v>
      </c>
      <c r="J475" s="306">
        <f t="shared" ca="1" si="217"/>
        <v>710.87418061748588</v>
      </c>
      <c r="K475" s="307">
        <f t="shared" ca="1" si="218"/>
        <v>627.05311225793196</v>
      </c>
      <c r="L475" s="304">
        <f t="shared" ca="1" si="203"/>
        <v>947.91228827404734</v>
      </c>
      <c r="M475" s="306">
        <f t="shared" ca="1" si="219"/>
        <v>-1.4205804715626573</v>
      </c>
      <c r="N475" s="304">
        <f t="shared" ca="1" si="220"/>
        <v>-81.393265479244533</v>
      </c>
      <c r="P475" s="310">
        <f t="shared" ca="1" si="221"/>
        <v>23</v>
      </c>
      <c r="Q475" s="304">
        <f t="shared" ca="1" si="222"/>
        <v>0</v>
      </c>
      <c r="R475" s="306">
        <f t="shared" ca="1" si="223"/>
        <v>0</v>
      </c>
      <c r="S475" s="307">
        <f t="shared" ca="1" si="224"/>
        <v>7.4799999999999969</v>
      </c>
      <c r="T475" s="304">
        <f t="shared" ca="1" si="204"/>
        <v>73.37879999999997</v>
      </c>
      <c r="U475" s="311">
        <f t="shared" ca="1" si="205"/>
        <v>0</v>
      </c>
      <c r="V475" s="306">
        <f t="shared" ca="1" si="206"/>
        <v>1.1505211048969972</v>
      </c>
      <c r="W475" s="304">
        <f t="shared" ca="1" si="207"/>
        <v>39.711786869823364</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4.4388900282815182</v>
      </c>
      <c r="AH475" s="304">
        <f t="shared" ca="1" si="231"/>
        <v>-5.2585421326559754</v>
      </c>
    </row>
    <row r="476" spans="1:34" x14ac:dyDescent="0.2">
      <c r="A476" s="347">
        <f t="shared" ca="1" si="209"/>
        <v>0.1</v>
      </c>
      <c r="B476" s="304">
        <f t="shared" ca="1" si="210"/>
        <v>29.200000000000149</v>
      </c>
      <c r="D476" s="306">
        <f t="shared" ca="1" si="211"/>
        <v>-0.79450947478451228</v>
      </c>
      <c r="E476" s="307">
        <f t="shared" ca="1" si="212"/>
        <v>-4.560724009082219</v>
      </c>
      <c r="F476" s="304">
        <f t="shared" ca="1" si="213"/>
        <v>4.6294112792601769</v>
      </c>
      <c r="G476" s="306">
        <f t="shared" ca="1" si="214"/>
        <v>15.530286357057431</v>
      </c>
      <c r="H476" s="307">
        <f t="shared" ca="1" si="215"/>
        <v>-103.58866157419364</v>
      </c>
      <c r="I476" s="304">
        <f t="shared" ca="1" si="216"/>
        <v>104.74636318777385</v>
      </c>
      <c r="J476" s="306">
        <f t="shared" ca="1" si="217"/>
        <v>712.43118180056558</v>
      </c>
      <c r="K476" s="307">
        <f t="shared" ca="1" si="218"/>
        <v>616.71704972055795</v>
      </c>
      <c r="L476" s="304">
        <f t="shared" ca="1" si="203"/>
        <v>942.28345428420835</v>
      </c>
      <c r="M476" s="306">
        <f t="shared" ca="1" si="219"/>
        <v>-1.4219820307609907</v>
      </c>
      <c r="N476" s="304">
        <f t="shared" ca="1" si="220"/>
        <v>-81.473568906046765</v>
      </c>
      <c r="P476" s="310">
        <f t="shared" ca="1" si="221"/>
        <v>23</v>
      </c>
      <c r="Q476" s="304">
        <f t="shared" ca="1" si="222"/>
        <v>0</v>
      </c>
      <c r="R476" s="306">
        <f t="shared" ca="1" si="223"/>
        <v>0</v>
      </c>
      <c r="S476" s="307">
        <f t="shared" ca="1" si="224"/>
        <v>7.4799999999999969</v>
      </c>
      <c r="T476" s="304">
        <f t="shared" ca="1" si="204"/>
        <v>73.37879999999997</v>
      </c>
      <c r="U476" s="311">
        <f t="shared" ca="1" si="205"/>
        <v>0</v>
      </c>
      <c r="V476" s="306">
        <f t="shared" ca="1" si="206"/>
        <v>1.1517120575903792</v>
      </c>
      <c r="W476" s="304">
        <f t="shared" ca="1" si="207"/>
        <v>40.08833043038446</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4.3904651916311144</v>
      </c>
      <c r="AH476" s="304">
        <f t="shared" ca="1" si="231"/>
        <v>-5.3090624157517885</v>
      </c>
    </row>
    <row r="477" spans="1:34" x14ac:dyDescent="0.2">
      <c r="A477" s="347">
        <f t="shared" ca="1" si="209"/>
        <v>0.1</v>
      </c>
      <c r="B477" s="304">
        <f t="shared" ca="1" si="210"/>
        <v>29.30000000000015</v>
      </c>
      <c r="D477" s="306">
        <f t="shared" ca="1" si="211"/>
        <v>-0.79461522514852923</v>
      </c>
      <c r="E477" s="307">
        <f t="shared" ca="1" si="212"/>
        <v>-4.5098319446822623</v>
      </c>
      <c r="F477" s="304">
        <f t="shared" ca="1" si="213"/>
        <v>4.5793009865387146</v>
      </c>
      <c r="G477" s="306">
        <f t="shared" ca="1" si="214"/>
        <v>15.450824834542578</v>
      </c>
      <c r="H477" s="307">
        <f t="shared" ca="1" si="215"/>
        <v>-104.03964476866186</v>
      </c>
      <c r="I477" s="304">
        <f t="shared" ca="1" si="216"/>
        <v>105.18068107621792</v>
      </c>
      <c r="J477" s="306">
        <f t="shared" ca="1" si="217"/>
        <v>713.98023736014557</v>
      </c>
      <c r="K477" s="307">
        <f t="shared" ca="1" si="218"/>
        <v>606.33563440341516</v>
      </c>
      <c r="L477" s="304">
        <f t="shared" ca="1" si="203"/>
        <v>936.7020235316254</v>
      </c>
      <c r="M477" s="306">
        <f t="shared" ca="1" si="219"/>
        <v>-1.4233648763145654</v>
      </c>
      <c r="N477" s="304">
        <f t="shared" ca="1" si="220"/>
        <v>-81.552800119985037</v>
      </c>
      <c r="P477" s="310">
        <f t="shared" ca="1" si="221"/>
        <v>23</v>
      </c>
      <c r="Q477" s="304">
        <f t="shared" ca="1" si="222"/>
        <v>0</v>
      </c>
      <c r="R477" s="306">
        <f t="shared" ca="1" si="223"/>
        <v>0</v>
      </c>
      <c r="S477" s="307">
        <f t="shared" ca="1" si="224"/>
        <v>7.4799999999999969</v>
      </c>
      <c r="T477" s="304">
        <f t="shared" ca="1" si="204"/>
        <v>73.37879999999997</v>
      </c>
      <c r="U477" s="311">
        <f t="shared" ca="1" si="205"/>
        <v>0</v>
      </c>
      <c r="V477" s="306">
        <f t="shared" ca="1" si="206"/>
        <v>1.1529094385996412</v>
      </c>
      <c r="W477" s="304">
        <f t="shared" ca="1" si="207"/>
        <v>40.463486590280858</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4.3421732195951979</v>
      </c>
      <c r="AH477" s="304">
        <f t="shared" ca="1" si="231"/>
        <v>-5.3594024639551439</v>
      </c>
    </row>
    <row r="478" spans="1:34" x14ac:dyDescent="0.2">
      <c r="A478" s="347">
        <f t="shared" ca="1" si="209"/>
        <v>0.1</v>
      </c>
      <c r="B478" s="304">
        <f t="shared" ca="1" si="210"/>
        <v>29.400000000000151</v>
      </c>
      <c r="D478" s="306">
        <f t="shared" ca="1" si="211"/>
        <v>-0.79465275618988662</v>
      </c>
      <c r="E478" s="307">
        <f t="shared" ca="1" si="212"/>
        <v>-4.4591277097646627</v>
      </c>
      <c r="F478" s="304">
        <f t="shared" ca="1" si="213"/>
        <v>4.5293810763625562</v>
      </c>
      <c r="G478" s="306">
        <f t="shared" ca="1" si="214"/>
        <v>15.37135955892359</v>
      </c>
      <c r="H478" s="307">
        <f t="shared" ca="1" si="215"/>
        <v>-104.48555753963832</v>
      </c>
      <c r="I478" s="304">
        <f t="shared" ca="1" si="216"/>
        <v>105.61018146494581</v>
      </c>
      <c r="J478" s="306">
        <f t="shared" ca="1" si="217"/>
        <v>715.5213465798189</v>
      </c>
      <c r="K478" s="307">
        <f t="shared" ca="1" si="218"/>
        <v>595.90937428800009</v>
      </c>
      <c r="L478" s="304">
        <f t="shared" ca="1" si="203"/>
        <v>931.17065019023937</v>
      </c>
      <c r="M478" s="306">
        <f t="shared" ca="1" si="219"/>
        <v>-1.4247293936062913</v>
      </c>
      <c r="N478" s="304">
        <f t="shared" ca="1" si="220"/>
        <v>-81.630981201873539</v>
      </c>
      <c r="P478" s="310">
        <f t="shared" ca="1" si="221"/>
        <v>23</v>
      </c>
      <c r="Q478" s="304">
        <f t="shared" ca="1" si="222"/>
        <v>0</v>
      </c>
      <c r="R478" s="306">
        <f t="shared" ca="1" si="223"/>
        <v>0</v>
      </c>
      <c r="S478" s="307">
        <f t="shared" ca="1" si="224"/>
        <v>7.4799999999999969</v>
      </c>
      <c r="T478" s="304">
        <f t="shared" ca="1" si="204"/>
        <v>73.37879999999997</v>
      </c>
      <c r="U478" s="311">
        <f t="shared" ca="1" si="205"/>
        <v>0</v>
      </c>
      <c r="V478" s="306">
        <f t="shared" ca="1" si="206"/>
        <v>1.1541132068764957</v>
      </c>
      <c r="W478" s="304">
        <f t="shared" ca="1" si="207"/>
        <v>40.837217025200268</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4.2940207055186734</v>
      </c>
      <c r="AH478" s="304">
        <f t="shared" ca="1" si="231"/>
        <v>-5.4095570307862131</v>
      </c>
    </row>
    <row r="479" spans="1:34" x14ac:dyDescent="0.2">
      <c r="A479" s="347">
        <f t="shared" ca="1" si="209"/>
        <v>0.1</v>
      </c>
      <c r="B479" s="304">
        <f t="shared" ca="1" si="210"/>
        <v>29.500000000000153</v>
      </c>
      <c r="D479" s="306">
        <f t="shared" ca="1" si="211"/>
        <v>-0.79462281982477068</v>
      </c>
      <c r="E479" s="307">
        <f t="shared" ca="1" si="212"/>
        <v>-4.4086164694904308</v>
      </c>
      <c r="F479" s="304">
        <f t="shared" ca="1" si="213"/>
        <v>4.4796567503379698</v>
      </c>
      <c r="G479" s="306">
        <f t="shared" ca="1" si="214"/>
        <v>15.291897276941112</v>
      </c>
      <c r="H479" s="307">
        <f t="shared" ca="1" si="215"/>
        <v>-104.92641918658737</v>
      </c>
      <c r="I479" s="304">
        <f t="shared" ca="1" si="216"/>
        <v>106.03487900520267</v>
      </c>
      <c r="J479" s="306">
        <f t="shared" ca="1" si="217"/>
        <v>717.05450942161212</v>
      </c>
      <c r="K479" s="307">
        <f t="shared" ca="1" si="218"/>
        <v>585.4387754516888</v>
      </c>
      <c r="L479" s="304">
        <f t="shared" ca="1" si="203"/>
        <v>925.69202723381056</v>
      </c>
      <c r="M479" s="306">
        <f t="shared" ca="1" si="219"/>
        <v>-1.4260759572545394</v>
      </c>
      <c r="N479" s="304">
        <f t="shared" ca="1" si="220"/>
        <v>-81.708133615763899</v>
      </c>
      <c r="P479" s="310">
        <f t="shared" ca="1" si="221"/>
        <v>23</v>
      </c>
      <c r="Q479" s="304">
        <f t="shared" ca="1" si="222"/>
        <v>0</v>
      </c>
      <c r="R479" s="306">
        <f t="shared" ca="1" si="223"/>
        <v>0</v>
      </c>
      <c r="S479" s="307">
        <f t="shared" ca="1" si="224"/>
        <v>7.4799999999999969</v>
      </c>
      <c r="T479" s="304">
        <f t="shared" ca="1" si="204"/>
        <v>73.37879999999997</v>
      </c>
      <c r="U479" s="311">
        <f t="shared" ca="1" si="205"/>
        <v>0</v>
      </c>
      <c r="V479" s="306">
        <f t="shared" ca="1" si="206"/>
        <v>1.1553233214748337</v>
      </c>
      <c r="W479" s="304">
        <f t="shared" ca="1" si="207"/>
        <v>41.209484327894351</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4.2460140726557478</v>
      </c>
      <c r="AH479" s="304">
        <f t="shared" ca="1" si="231"/>
        <v>-5.4595209926738351</v>
      </c>
    </row>
    <row r="480" spans="1:34" x14ac:dyDescent="0.2">
      <c r="A480" s="347">
        <f t="shared" ca="1" si="209"/>
        <v>0.1</v>
      </c>
      <c r="B480" s="304">
        <f t="shared" ca="1" si="210"/>
        <v>29.600000000000154</v>
      </c>
      <c r="D480" s="306">
        <f t="shared" ca="1" si="211"/>
        <v>-0.79452617458404784</v>
      </c>
      <c r="E480" s="307">
        <f t="shared" ca="1" si="212"/>
        <v>-4.3583032654926654</v>
      </c>
      <c r="F480" s="304">
        <f t="shared" ca="1" si="213"/>
        <v>4.4301330901117622</v>
      </c>
      <c r="G480" s="306">
        <f t="shared" ca="1" si="214"/>
        <v>15.212444659482708</v>
      </c>
      <c r="H480" s="307">
        <f t="shared" ca="1" si="215"/>
        <v>-105.36224951313663</v>
      </c>
      <c r="I480" s="304">
        <f t="shared" ca="1" si="216"/>
        <v>106.45478897159246</v>
      </c>
      <c r="J480" s="306">
        <f t="shared" ca="1" si="217"/>
        <v>718.57972651843329</v>
      </c>
      <c r="K480" s="307">
        <f t="shared" ca="1" si="218"/>
        <v>574.92434201670255</v>
      </c>
      <c r="L480" s="304">
        <f t="shared" ca="1" si="203"/>
        <v>920.26888592771877</v>
      </c>
      <c r="M480" s="306">
        <f t="shared" ca="1" si="219"/>
        <v>-1.4274049314815525</v>
      </c>
      <c r="N480" s="304">
        <f t="shared" ca="1" si="220"/>
        <v>-81.784278230053417</v>
      </c>
      <c r="P480" s="310">
        <f t="shared" ca="1" si="221"/>
        <v>23</v>
      </c>
      <c r="Q480" s="304">
        <f t="shared" ca="1" si="222"/>
        <v>0</v>
      </c>
      <c r="R480" s="306">
        <f t="shared" ca="1" si="223"/>
        <v>0</v>
      </c>
      <c r="S480" s="307">
        <f t="shared" ca="1" si="224"/>
        <v>7.4799999999999969</v>
      </c>
      <c r="T480" s="304">
        <f t="shared" ca="1" si="204"/>
        <v>73.37879999999997</v>
      </c>
      <c r="U480" s="311">
        <f t="shared" ca="1" si="205"/>
        <v>0</v>
      </c>
      <c r="V480" s="306">
        <f t="shared" ca="1" si="206"/>
        <v>1.1565397415549932</v>
      </c>
      <c r="W480" s="304">
        <f t="shared" ca="1" si="207"/>
        <v>41.580252005489989</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4.1981595764346009</v>
      </c>
      <c r="AH480" s="304">
        <f t="shared" ca="1" si="231"/>
        <v>-5.5092893486489798</v>
      </c>
    </row>
    <row r="481" spans="1:34" x14ac:dyDescent="0.2">
      <c r="A481" s="347">
        <f t="shared" ca="1" si="209"/>
        <v>0.1</v>
      </c>
      <c r="B481" s="304">
        <f t="shared" ca="1" si="210"/>
        <v>29.700000000000156</v>
      </c>
      <c r="D481" s="306">
        <f t="shared" ca="1" si="211"/>
        <v>-0.79436358519820216</v>
      </c>
      <c r="E481" s="307">
        <f t="shared" ca="1" si="212"/>
        <v>-4.3081930162269702</v>
      </c>
      <c r="F481" s="304">
        <f t="shared" ca="1" si="213"/>
        <v>4.3808150577895635</v>
      </c>
      <c r="G481" s="306">
        <f t="shared" ca="1" si="214"/>
        <v>15.133008300962889</v>
      </c>
      <c r="H481" s="307">
        <f t="shared" ca="1" si="215"/>
        <v>-105.79306881475932</v>
      </c>
      <c r="I481" s="304">
        <f t="shared" ca="1" si="216"/>
        <v>106.86992724560737</v>
      </c>
      <c r="J481" s="306">
        <f t="shared" ca="1" si="217"/>
        <v>720.09699916645559</v>
      </c>
      <c r="K481" s="307">
        <f t="shared" ca="1" si="218"/>
        <v>564.36657610030773</v>
      </c>
      <c r="L481" s="304">
        <f t="shared" ca="1" si="203"/>
        <v>914.90399519715663</v>
      </c>
      <c r="M481" s="306">
        <f t="shared" ca="1" si="219"/>
        <v>-1.428716670467034</v>
      </c>
      <c r="N481" s="304">
        <f t="shared" ca="1" si="220"/>
        <v>-81.859435337744273</v>
      </c>
      <c r="P481" s="310">
        <f t="shared" ca="1" si="221"/>
        <v>23</v>
      </c>
      <c r="Q481" s="304">
        <f t="shared" ca="1" si="222"/>
        <v>0</v>
      </c>
      <c r="R481" s="306">
        <f t="shared" ca="1" si="223"/>
        <v>0</v>
      </c>
      <c r="S481" s="307">
        <f t="shared" ca="1" si="224"/>
        <v>7.4799999999999969</v>
      </c>
      <c r="T481" s="304">
        <f t="shared" ca="1" si="204"/>
        <v>73.37879999999997</v>
      </c>
      <c r="U481" s="311">
        <f t="shared" ca="1" si="205"/>
        <v>0</v>
      </c>
      <c r="V481" s="306">
        <f t="shared" ca="1" si="206"/>
        <v>1.1577624263879489</v>
      </c>
      <c r="W481" s="304">
        <f t="shared" ca="1" si="207"/>
        <v>41.949484476415066</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4.1504633066815542</v>
      </c>
      <c r="AH481" s="304">
        <f t="shared" ca="1" si="231"/>
        <v>-5.5588572199852946</v>
      </c>
    </row>
    <row r="482" spans="1:34" x14ac:dyDescent="0.2">
      <c r="A482" s="347">
        <f t="shared" ca="1" si="209"/>
        <v>0.1</v>
      </c>
      <c r="B482" s="304">
        <f t="shared" ca="1" si="210"/>
        <v>29.800000000000157</v>
      </c>
      <c r="D482" s="306">
        <f t="shared" ca="1" si="211"/>
        <v>-0.79413582218899326</v>
      </c>
      <c r="E482" s="307">
        <f t="shared" ca="1" si="212"/>
        <v>-4.258290517374526</v>
      </c>
      <c r="F482" s="304">
        <f t="shared" ca="1" si="213"/>
        <v>4.3317074964089617</v>
      </c>
      <c r="G482" s="306">
        <f t="shared" ca="1" si="214"/>
        <v>15.053594718743989</v>
      </c>
      <c r="H482" s="307">
        <f t="shared" ca="1" si="215"/>
        <v>-106.21889786649677</v>
      </c>
      <c r="I482" s="304">
        <f t="shared" ca="1" si="216"/>
        <v>107.28031029937166</v>
      </c>
      <c r="J482" s="306">
        <f t="shared" ca="1" si="217"/>
        <v>721.6063293174409</v>
      </c>
      <c r="K482" s="307">
        <f t="shared" ca="1" si="218"/>
        <v>553.76597776624487</v>
      </c>
      <c r="L482" s="304">
        <f t="shared" ca="1" si="203"/>
        <v>909.60016086322025</v>
      </c>
      <c r="M482" s="306">
        <f t="shared" ca="1" si="219"/>
        <v>-1.4300115186875999</v>
      </c>
      <c r="N482" s="304">
        <f t="shared" ca="1" si="220"/>
        <v>-81.93362467589273</v>
      </c>
      <c r="P482" s="310">
        <f t="shared" ca="1" si="221"/>
        <v>23</v>
      </c>
      <c r="Q482" s="304">
        <f t="shared" ca="1" si="222"/>
        <v>0</v>
      </c>
      <c r="R482" s="306">
        <f t="shared" ca="1" si="223"/>
        <v>0</v>
      </c>
      <c r="S482" s="307">
        <f t="shared" ca="1" si="224"/>
        <v>7.4799999999999969</v>
      </c>
      <c r="T482" s="304">
        <f t="shared" ca="1" si="204"/>
        <v>73.37879999999997</v>
      </c>
      <c r="U482" s="311">
        <f t="shared" ca="1" si="205"/>
        <v>0</v>
      </c>
      <c r="V482" s="306">
        <f t="shared" ca="1" si="206"/>
        <v>1.1589913353594217</v>
      </c>
      <c r="W482" s="304">
        <f t="shared" ca="1" si="207"/>
        <v>42.317147066949161</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4.1029311898084488</v>
      </c>
      <c r="AH482" s="304">
        <f t="shared" ca="1" si="231"/>
        <v>-5.6082198497881128</v>
      </c>
    </row>
    <row r="483" spans="1:34" x14ac:dyDescent="0.2">
      <c r="A483" s="347">
        <f t="shared" ca="1" si="209"/>
        <v>0.1</v>
      </c>
      <c r="B483" s="304">
        <f t="shared" ca="1" si="210"/>
        <v>29.900000000000158</v>
      </c>
      <c r="D483" s="306">
        <f t="shared" ca="1" si="211"/>
        <v>-0.79384366146786922</v>
      </c>
      <c r="E483" s="307">
        <f t="shared" ca="1" si="212"/>
        <v>-4.2086004422964232</v>
      </c>
      <c r="F483" s="304">
        <f t="shared" ca="1" si="213"/>
        <v>4.2828151304662176</v>
      </c>
      <c r="G483" s="306">
        <f t="shared" ca="1" si="214"/>
        <v>14.974210352597202</v>
      </c>
      <c r="H483" s="307">
        <f t="shared" ca="1" si="215"/>
        <v>-106.63975791072642</v>
      </c>
      <c r="I483" s="304">
        <f t="shared" ca="1" si="216"/>
        <v>107.68595517959696</v>
      </c>
      <c r="J483" s="306">
        <f t="shared" ca="1" si="217"/>
        <v>723.10771957100792</v>
      </c>
      <c r="K483" s="307">
        <f t="shared" ca="1" si="218"/>
        <v>543.12304497738376</v>
      </c>
      <c r="L483" s="304">
        <f t="shared" ca="1" si="203"/>
        <v>904.36022473828905</v>
      </c>
      <c r="M483" s="306">
        <f t="shared" ca="1" si="219"/>
        <v>-1.431289811242741</v>
      </c>
      <c r="N483" s="304">
        <f t="shared" ca="1" si="220"/>
        <v>-82.00686544428531</v>
      </c>
      <c r="P483" s="310">
        <f t="shared" ca="1" si="221"/>
        <v>23</v>
      </c>
      <c r="Q483" s="304">
        <f t="shared" ca="1" si="222"/>
        <v>0</v>
      </c>
      <c r="R483" s="306">
        <f t="shared" ca="1" si="223"/>
        <v>0</v>
      </c>
      <c r="S483" s="307">
        <f t="shared" ca="1" si="224"/>
        <v>7.4799999999999969</v>
      </c>
      <c r="T483" s="304">
        <f t="shared" ca="1" si="204"/>
        <v>73.37879999999997</v>
      </c>
      <c r="U483" s="311">
        <f t="shared" ca="1" si="205"/>
        <v>0</v>
      </c>
      <c r="V483" s="306">
        <f t="shared" ca="1" si="206"/>
        <v>1.1602264279739143</v>
      </c>
      <c r="W483" s="304">
        <f t="shared" ca="1" si="207"/>
        <v>42.683206007409993</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4.0555689909665009</v>
      </c>
      <c r="AH483" s="304">
        <f t="shared" ca="1" si="231"/>
        <v>-5.6573726025333126</v>
      </c>
    </row>
    <row r="484" spans="1:34" x14ac:dyDescent="0.2">
      <c r="A484" s="347">
        <f t="shared" ca="1" si="209"/>
        <v>0.1</v>
      </c>
      <c r="B484" s="304">
        <f t="shared" ca="1" si="210"/>
        <v>30.00000000000016</v>
      </c>
      <c r="D484" s="306">
        <f t="shared" ca="1" si="211"/>
        <v>-0.79348788394116365</v>
      </c>
      <c r="E484" s="307">
        <f t="shared" ca="1" si="212"/>
        <v>-4.1591273425377073</v>
      </c>
      <c r="F484" s="304">
        <f t="shared" ca="1" si="213"/>
        <v>4.2341425664951569</v>
      </c>
      <c r="G484" s="306">
        <f t="shared" ca="1" si="214"/>
        <v>14.894861564203087</v>
      </c>
      <c r="H484" s="307">
        <f t="shared" ca="1" si="215"/>
        <v>-107.05567064498018</v>
      </c>
      <c r="I484" s="304">
        <f t="shared" ca="1" si="216"/>
        <v>108.08687949174612</v>
      </c>
      <c r="J484" s="306">
        <f t="shared" ca="1" si="217"/>
        <v>724.60117316684796</v>
      </c>
      <c r="K484" s="307">
        <f t="shared" ca="1" si="218"/>
        <v>532.43827354959842</v>
      </c>
      <c r="L484" s="304">
        <f t="shared" ca="1" si="203"/>
        <v>899.18706357200745</v>
      </c>
      <c r="M484" s="306">
        <f t="shared" ca="1" si="219"/>
        <v>-1.4325518741679086</v>
      </c>
      <c r="N484" s="304">
        <f t="shared" ca="1" si="220"/>
        <v>-82.079176323377339</v>
      </c>
      <c r="P484" s="310">
        <f t="shared" ca="1" si="221"/>
        <v>23</v>
      </c>
      <c r="Q484" s="304">
        <f t="shared" ca="1" si="222"/>
        <v>0</v>
      </c>
      <c r="R484" s="306">
        <f t="shared" ca="1" si="223"/>
        <v>0</v>
      </c>
      <c r="S484" s="307">
        <f t="shared" ca="1" si="224"/>
        <v>7.4799999999999969</v>
      </c>
      <c r="T484" s="304">
        <f t="shared" ca="1" si="204"/>
        <v>73.37879999999997</v>
      </c>
      <c r="U484" s="311">
        <f t="shared" ca="1" si="205"/>
        <v>0</v>
      </c>
      <c r="V484" s="306">
        <f t="shared" ca="1" si="206"/>
        <v>1.1614676638586576</v>
      </c>
      <c r="W484" s="304">
        <f t="shared" ca="1" si="207"/>
        <v>43.047628427985444</v>
      </c>
      <c r="Y484" s="314" t="str">
        <f t="shared" ca="1" si="225"/>
        <v/>
      </c>
      <c r="Z484" s="315" t="str">
        <f t="shared" ca="1" si="226"/>
        <v/>
      </c>
      <c r="AA484" s="316" t="str">
        <f t="shared" ca="1" si="227"/>
        <v/>
      </c>
      <c r="AC484" s="310">
        <f t="shared" ca="1" si="228"/>
        <v>30.00000000000016</v>
      </c>
      <c r="AD484" s="323">
        <f t="shared" ca="1" si="229"/>
        <v>724.60117316684796</v>
      </c>
      <c r="AE484" s="324" t="e">
        <f t="shared" ca="1" si="208"/>
        <v>#N/A</v>
      </c>
      <c r="AG484" s="306">
        <f t="shared" ca="1" si="230"/>
        <v>4.0083823161696301</v>
      </c>
      <c r="AH484" s="304">
        <f t="shared" ca="1" si="231"/>
        <v>-5.7063109635574882</v>
      </c>
    </row>
    <row r="485" spans="1:34" x14ac:dyDescent="0.2">
      <c r="A485" s="347">
        <f t="shared" ca="1" si="209"/>
        <v>0.1</v>
      </c>
      <c r="B485" s="304">
        <f t="shared" ca="1" si="210"/>
        <v>30.100000000000161</v>
      </c>
      <c r="D485" s="306">
        <f t="shared" ca="1" si="211"/>
        <v>-0.79306927512210601</v>
      </c>
      <c r="E485" s="307">
        <f t="shared" ca="1" si="212"/>
        <v>-4.1098756483798278</v>
      </c>
      <c r="F485" s="304">
        <f t="shared" ca="1" si="213"/>
        <v>4.18569429369707</v>
      </c>
      <c r="G485" s="306">
        <f t="shared" ca="1" si="214"/>
        <v>14.815554636690877</v>
      </c>
      <c r="H485" s="307">
        <f t="shared" ca="1" si="215"/>
        <v>-107.46665820981816</v>
      </c>
      <c r="I485" s="304">
        <f t="shared" ca="1" si="216"/>
        <v>108.48310138440296</v>
      </c>
      <c r="J485" s="306">
        <f t="shared" ca="1" si="217"/>
        <v>726.08669397689266</v>
      </c>
      <c r="K485" s="307">
        <f t="shared" ca="1" si="218"/>
        <v>521.71215710685851</v>
      </c>
      <c r="L485" s="304">
        <f t="shared" ca="1" si="203"/>
        <v>894.08358783918243</v>
      </c>
      <c r="M485" s="306">
        <f t="shared" ca="1" si="219"/>
        <v>-1.433798024735309</v>
      </c>
      <c r="N485" s="304">
        <f t="shared" ca="1" si="220"/>
        <v>-82.150575491527221</v>
      </c>
      <c r="P485" s="310">
        <f t="shared" ca="1" si="221"/>
        <v>23</v>
      </c>
      <c r="Q485" s="304">
        <f t="shared" ca="1" si="222"/>
        <v>0</v>
      </c>
      <c r="R485" s="306">
        <f t="shared" ca="1" si="223"/>
        <v>0</v>
      </c>
      <c r="S485" s="307">
        <f t="shared" ca="1" si="224"/>
        <v>7.4799999999999969</v>
      </c>
      <c r="T485" s="304">
        <f t="shared" ca="1" si="204"/>
        <v>73.37879999999997</v>
      </c>
      <c r="U485" s="311">
        <f t="shared" ca="1" si="205"/>
        <v>0</v>
      </c>
      <c r="V485" s="306">
        <f t="shared" ca="1" si="206"/>
        <v>1.1627150027674882</v>
      </c>
      <c r="W485" s="304">
        <f t="shared" ca="1" si="207"/>
        <v>43.410382354222435</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3.9613766143901401</v>
      </c>
      <c r="AH485" s="304">
        <f t="shared" ca="1" si="231"/>
        <v>-5.7550305385007299</v>
      </c>
    </row>
    <row r="486" spans="1:34" x14ac:dyDescent="0.2">
      <c r="A486" s="347">
        <f t="shared" ca="1" si="209"/>
        <v>0.1</v>
      </c>
      <c r="B486" s="304">
        <f t="shared" ca="1" si="210"/>
        <v>30.200000000000163</v>
      </c>
      <c r="D486" s="306">
        <f t="shared" ca="1" si="211"/>
        <v>-0.79258862474966885</v>
      </c>
      <c r="E486" s="307">
        <f t="shared" ca="1" si="212"/>
        <v>-4.0608496694399072</v>
      </c>
      <c r="F486" s="304">
        <f t="shared" ca="1" si="213"/>
        <v>4.1374746846201695</v>
      </c>
      <c r="G486" s="306">
        <f t="shared" ca="1" si="214"/>
        <v>14.736295774215909</v>
      </c>
      <c r="H486" s="307">
        <f t="shared" ca="1" si="215"/>
        <v>-107.87274317676216</v>
      </c>
      <c r="I486" s="304">
        <f t="shared" ca="1" si="216"/>
        <v>108.87463953384579</v>
      </c>
      <c r="J486" s="306">
        <f t="shared" ca="1" si="217"/>
        <v>727.56428649743805</v>
      </c>
      <c r="K486" s="307">
        <f t="shared" ca="1" si="218"/>
        <v>510.94518703752948</v>
      </c>
      <c r="L486" s="304">
        <f t="shared" ca="1" si="203"/>
        <v>889.05274036096534</v>
      </c>
      <c r="M486" s="306">
        <f t="shared" ca="1" si="219"/>
        <v>-1.4350285717429574</v>
      </c>
      <c r="N486" s="304">
        <f t="shared" ca="1" si="220"/>
        <v>-82.221080641557919</v>
      </c>
      <c r="P486" s="310">
        <f t="shared" ca="1" si="221"/>
        <v>23</v>
      </c>
      <c r="Q486" s="304">
        <f t="shared" ca="1" si="222"/>
        <v>0</v>
      </c>
      <c r="R486" s="306">
        <f t="shared" ca="1" si="223"/>
        <v>0</v>
      </c>
      <c r="S486" s="307">
        <f t="shared" ca="1" si="224"/>
        <v>7.4799999999999969</v>
      </c>
      <c r="T486" s="304">
        <f t="shared" ca="1" si="204"/>
        <v>73.37879999999997</v>
      </c>
      <c r="U486" s="311">
        <f t="shared" ca="1" si="205"/>
        <v>0</v>
      </c>
      <c r="V486" s="306">
        <f t="shared" ca="1" si="206"/>
        <v>1.1639684045846377</v>
      </c>
      <c r="W486" s="304">
        <f t="shared" ca="1" si="207"/>
        <v>43.771436702182598</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3.9145571796291634</v>
      </c>
      <c r="AH486" s="304">
        <f t="shared" ca="1" si="231"/>
        <v>-5.8035270527035365</v>
      </c>
    </row>
    <row r="487" spans="1:34" x14ac:dyDescent="0.2">
      <c r="A487" s="347">
        <f t="shared" ca="1" si="209"/>
        <v>0.1</v>
      </c>
      <c r="B487" s="304">
        <f t="shared" ca="1" si="210"/>
        <v>30.300000000000164</v>
      </c>
      <c r="D487" s="306">
        <f t="shared" ca="1" si="211"/>
        <v>-0.7920467264142792</v>
      </c>
      <c r="E487" s="307">
        <f t="shared" ca="1" si="212"/>
        <v>-4.0120535953154866</v>
      </c>
      <c r="F487" s="304">
        <f t="shared" ca="1" si="213"/>
        <v>4.0894879958874437</v>
      </c>
      <c r="G487" s="306">
        <f t="shared" ca="1" si="214"/>
        <v>14.657091101574482</v>
      </c>
      <c r="H487" s="307">
        <f t="shared" ca="1" si="215"/>
        <v>-108.2739485362937</v>
      </c>
      <c r="I487" s="304">
        <f t="shared" ca="1" si="216"/>
        <v>109.2615131288224</v>
      </c>
      <c r="J487" s="306">
        <f t="shared" ca="1" si="217"/>
        <v>729.03395584122757</v>
      </c>
      <c r="K487" s="307">
        <f t="shared" ca="1" si="218"/>
        <v>500.13785245187671</v>
      </c>
      <c r="L487" s="304">
        <f t="shared" ca="1" si="203"/>
        <v>884.09749475082447</v>
      </c>
      <c r="M487" s="306">
        <f t="shared" ca="1" si="219"/>
        <v>-1.4362438157925188</v>
      </c>
      <c r="N487" s="304">
        <f t="shared" ca="1" si="220"/>
        <v>-82.290708996676187</v>
      </c>
      <c r="P487" s="310">
        <f t="shared" ca="1" si="221"/>
        <v>23</v>
      </c>
      <c r="Q487" s="304">
        <f t="shared" ca="1" si="222"/>
        <v>0</v>
      </c>
      <c r="R487" s="306">
        <f t="shared" ca="1" si="223"/>
        <v>0</v>
      </c>
      <c r="S487" s="307">
        <f t="shared" ca="1" si="224"/>
        <v>7.4799999999999969</v>
      </c>
      <c r="T487" s="304">
        <f t="shared" ca="1" si="204"/>
        <v>73.37879999999997</v>
      </c>
      <c r="U487" s="311">
        <f t="shared" ca="1" si="205"/>
        <v>0</v>
      </c>
      <c r="V487" s="306">
        <f t="shared" ca="1" si="206"/>
        <v>1.1652278293284482</v>
      </c>
      <c r="W487" s="304">
        <f t="shared" ca="1" si="207"/>
        <v>44.130761273275589</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3.8679291529642139</v>
      </c>
      <c r="AH487" s="304">
        <f t="shared" ca="1" si="231"/>
        <v>-5.851796350559173</v>
      </c>
    </row>
    <row r="488" spans="1:34" x14ac:dyDescent="0.2">
      <c r="A488" s="347">
        <f t="shared" ca="1" si="209"/>
        <v>0.1</v>
      </c>
      <c r="B488" s="304">
        <f t="shared" ca="1" si="210"/>
        <v>30.400000000000166</v>
      </c>
      <c r="D488" s="306">
        <f t="shared" ca="1" si="211"/>
        <v>-0.79144437719040728</v>
      </c>
      <c r="E488" s="307">
        <f t="shared" ca="1" si="212"/>
        <v>-3.9634914962732273</v>
      </c>
      <c r="F488" s="304">
        <f t="shared" ca="1" si="213"/>
        <v>4.0417383689715116</v>
      </c>
      <c r="G488" s="306">
        <f t="shared" ca="1" si="214"/>
        <v>14.577946663855441</v>
      </c>
      <c r="H488" s="307">
        <f t="shared" ca="1" si="215"/>
        <v>-108.67029768592103</v>
      </c>
      <c r="I488" s="304">
        <f t="shared" ca="1" si="216"/>
        <v>109.64374185552457</v>
      </c>
      <c r="J488" s="306">
        <f t="shared" ca="1" si="217"/>
        <v>730.49570772949903</v>
      </c>
      <c r="K488" s="307">
        <f t="shared" ca="1" si="218"/>
        <v>489.29064014076596</v>
      </c>
      <c r="L488" s="304">
        <f t="shared" ca="1" si="203"/>
        <v>879.2208536770396</v>
      </c>
      <c r="M488" s="306">
        <f t="shared" ca="1" si="219"/>
        <v>-1.4374440495564338</v>
      </c>
      <c r="N488" s="304">
        <f t="shared" ca="1" si="220"/>
        <v>-82.359477325777604</v>
      </c>
      <c r="P488" s="310">
        <f t="shared" ca="1" si="221"/>
        <v>23</v>
      </c>
      <c r="Q488" s="304">
        <f t="shared" ca="1" si="222"/>
        <v>0</v>
      </c>
      <c r="R488" s="306">
        <f t="shared" ca="1" si="223"/>
        <v>0</v>
      </c>
      <c r="S488" s="307">
        <f t="shared" ca="1" si="224"/>
        <v>7.4799999999999969</v>
      </c>
      <c r="T488" s="304">
        <f t="shared" ca="1" si="204"/>
        <v>73.37879999999997</v>
      </c>
      <c r="U488" s="311">
        <f t="shared" ca="1" si="205"/>
        <v>0</v>
      </c>
      <c r="V488" s="306">
        <f t="shared" ca="1" si="206"/>
        <v>1.1664932371550056</v>
      </c>
      <c r="W488" s="304">
        <f t="shared" ca="1" si="207"/>
        <v>44.488326748780388</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3.8214975245759399</v>
      </c>
      <c r="AH488" s="304">
        <f t="shared" ca="1" si="231"/>
        <v>-5.8998343948229417</v>
      </c>
    </row>
    <row r="489" spans="1:34" x14ac:dyDescent="0.2">
      <c r="A489" s="347">
        <f t="shared" ca="1" si="209"/>
        <v>0.1</v>
      </c>
      <c r="B489" s="304">
        <f t="shared" ca="1" si="210"/>
        <v>30.500000000000167</v>
      </c>
      <c r="D489" s="306">
        <f t="shared" ca="1" si="211"/>
        <v>-0.7907823772760546</v>
      </c>
      <c r="E489" s="307">
        <f t="shared" ca="1" si="212"/>
        <v>-3.9151673239801807</v>
      </c>
      <c r="F489" s="304">
        <f t="shared" ca="1" si="213"/>
        <v>3.9942298310152982</v>
      </c>
      <c r="G489" s="306">
        <f t="shared" ca="1" si="214"/>
        <v>14.498868426127835</v>
      </c>
      <c r="H489" s="307">
        <f t="shared" ca="1" si="215"/>
        <v>-109.06181441831905</v>
      </c>
      <c r="I489" s="304">
        <f t="shared" ca="1" si="216"/>
        <v>110.02134588276054</v>
      </c>
      <c r="J489" s="306">
        <f t="shared" ca="1" si="217"/>
        <v>731.94954848399823</v>
      </c>
      <c r="K489" s="307">
        <f t="shared" ca="1" si="218"/>
        <v>478.40403453555393</v>
      </c>
      <c r="L489" s="304">
        <f t="shared" ca="1" si="203"/>
        <v>874.42584693376045</v>
      </c>
      <c r="M489" s="306">
        <f t="shared" ca="1" si="219"/>
        <v>-1.4386295580348043</v>
      </c>
      <c r="N489" s="304">
        <f t="shared" ca="1" si="220"/>
        <v>-82.42740195816522</v>
      </c>
      <c r="P489" s="310">
        <f t="shared" ca="1" si="221"/>
        <v>23</v>
      </c>
      <c r="Q489" s="304">
        <f t="shared" ca="1" si="222"/>
        <v>0</v>
      </c>
      <c r="R489" s="306">
        <f t="shared" ca="1" si="223"/>
        <v>0</v>
      </c>
      <c r="S489" s="307">
        <f t="shared" ca="1" si="224"/>
        <v>7.4799999999999969</v>
      </c>
      <c r="T489" s="304">
        <f t="shared" ca="1" si="204"/>
        <v>73.37879999999997</v>
      </c>
      <c r="U489" s="311">
        <f t="shared" ca="1" si="205"/>
        <v>0</v>
      </c>
      <c r="V489" s="306">
        <f t="shared" ca="1" si="206"/>
        <v>1.1677645883616981</v>
      </c>
      <c r="W489" s="304">
        <f t="shared" ca="1" si="207"/>
        <v>44.844104684065293</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3.7752671357559402</v>
      </c>
      <c r="AH489" s="304">
        <f t="shared" ca="1" si="231"/>
        <v>-5.9476372658797336</v>
      </c>
    </row>
    <row r="490" spans="1:34" x14ac:dyDescent="0.2">
      <c r="A490" s="347">
        <f t="shared" ca="1" si="209"/>
        <v>0.1</v>
      </c>
      <c r="B490" s="304">
        <f t="shared" ca="1" si="210"/>
        <v>30.600000000000168</v>
      </c>
      <c r="D490" s="306">
        <f t="shared" ca="1" si="211"/>
        <v>-0.79006152963914922</v>
      </c>
      <c r="E490" s="307">
        <f t="shared" ca="1" si="212"/>
        <v>-3.8670849122761437</v>
      </c>
      <c r="F490" s="304">
        <f t="shared" ca="1" si="213"/>
        <v>3.9469662956971829</v>
      </c>
      <c r="G490" s="306">
        <f t="shared" ca="1" si="214"/>
        <v>14.41986227316392</v>
      </c>
      <c r="H490" s="307">
        <f t="shared" ca="1" si="215"/>
        <v>-109.44852290954665</v>
      </c>
      <c r="I490" s="304">
        <f t="shared" ca="1" si="216"/>
        <v>110.39434584732396</v>
      </c>
      <c r="J490" s="306">
        <f t="shared" ca="1" si="217"/>
        <v>733.39548501896286</v>
      </c>
      <c r="K490" s="307">
        <f t="shared" ca="1" si="218"/>
        <v>467.47851766916062</v>
      </c>
      <c r="L490" s="304">
        <f t="shared" ca="1" si="203"/>
        <v>869.71552931309418</v>
      </c>
      <c r="M490" s="306">
        <f t="shared" ca="1" si="219"/>
        <v>-1.4398006188024881</v>
      </c>
      <c r="N490" s="304">
        <f t="shared" ca="1" si="220"/>
        <v>-82.494498797706854</v>
      </c>
      <c r="P490" s="310">
        <f t="shared" ca="1" si="221"/>
        <v>23</v>
      </c>
      <c r="Q490" s="304">
        <f t="shared" ca="1" si="222"/>
        <v>0</v>
      </c>
      <c r="R490" s="306">
        <f t="shared" ca="1" si="223"/>
        <v>0</v>
      </c>
      <c r="S490" s="307">
        <f t="shared" ca="1" si="224"/>
        <v>7.4799999999999969</v>
      </c>
      <c r="T490" s="304">
        <f t="shared" ca="1" si="204"/>
        <v>73.37879999999997</v>
      </c>
      <c r="U490" s="311">
        <f t="shared" ca="1" si="205"/>
        <v>0</v>
      </c>
      <c r="V490" s="306">
        <f t="shared" ca="1" si="206"/>
        <v>1.1690418433906886</v>
      </c>
      <c r="W490" s="304">
        <f t="shared" ca="1" si="207"/>
        <v>45.1980675025168</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3.729242680897336</v>
      </c>
      <c r="AH490" s="304">
        <f t="shared" ca="1" si="231"/>
        <v>-5.9952011609712983</v>
      </c>
    </row>
    <row r="491" spans="1:34" x14ac:dyDescent="0.2">
      <c r="A491" s="347">
        <f t="shared" ca="1" si="209"/>
        <v>0.1</v>
      </c>
      <c r="B491" s="304">
        <f t="shared" ca="1" si="210"/>
        <v>30.70000000000017</v>
      </c>
      <c r="D491" s="306">
        <f t="shared" ca="1" si="211"/>
        <v>-0.78928263967086909</v>
      </c>
      <c r="E491" s="307">
        <f t="shared" ca="1" si="212"/>
        <v>-3.8192479779856896</v>
      </c>
      <c r="F491" s="304">
        <f t="shared" ca="1" si="213"/>
        <v>3.8999515641394309</v>
      </c>
      <c r="G491" s="306">
        <f t="shared" ca="1" si="214"/>
        <v>14.340934009196832</v>
      </c>
      <c r="H491" s="307">
        <f t="shared" ca="1" si="215"/>
        <v>-109.83044770734523</v>
      </c>
      <c r="I491" s="304">
        <f t="shared" ca="1" si="216"/>
        <v>110.76276283955738</v>
      </c>
      <c r="J491" s="306">
        <f t="shared" ca="1" si="217"/>
        <v>734.8335248330809</v>
      </c>
      <c r="K491" s="307">
        <f t="shared" ca="1" si="218"/>
        <v>456.51456913831601</v>
      </c>
      <c r="L491" s="304">
        <f t="shared" ca="1" si="203"/>
        <v>865.0929782712102</v>
      </c>
      <c r="M491" s="306">
        <f t="shared" ca="1" si="219"/>
        <v>-1.4409575022468313</v>
      </c>
      <c r="N491" s="304">
        <f t="shared" ca="1" si="220"/>
        <v>-82.560783336456268</v>
      </c>
      <c r="P491" s="310">
        <f t="shared" ca="1" si="221"/>
        <v>23</v>
      </c>
      <c r="Q491" s="304">
        <f t="shared" ca="1" si="222"/>
        <v>0</v>
      </c>
      <c r="R491" s="306">
        <f t="shared" ca="1" si="223"/>
        <v>0</v>
      </c>
      <c r="S491" s="307">
        <f t="shared" ca="1" si="224"/>
        <v>7.4799999999999969</v>
      </c>
      <c r="T491" s="304">
        <f t="shared" ca="1" si="204"/>
        <v>73.37879999999997</v>
      </c>
      <c r="U491" s="311">
        <f t="shared" ca="1" si="205"/>
        <v>0</v>
      </c>
      <c r="V491" s="306">
        <f t="shared" ca="1" si="206"/>
        <v>1.1703249628323178</v>
      </c>
      <c r="W491" s="304">
        <f t="shared" ca="1" si="207"/>
        <v>45.550188489188095</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3.6834287094696361</v>
      </c>
      <c r="AH491" s="304">
        <f t="shared" ca="1" si="231"/>
        <v>-6.0425223933846013</v>
      </c>
    </row>
    <row r="492" spans="1:34" x14ac:dyDescent="0.2">
      <c r="A492" s="347">
        <f t="shared" ca="1" si="209"/>
        <v>0.1</v>
      </c>
      <c r="B492" s="304">
        <f t="shared" ca="1" si="210"/>
        <v>30.800000000000171</v>
      </c>
      <c r="D492" s="306">
        <f t="shared" ca="1" si="211"/>
        <v>-0.78844651484589445</v>
      </c>
      <c r="E492" s="307">
        <f t="shared" ca="1" si="212"/>
        <v>-3.7716601217684316</v>
      </c>
      <c r="F492" s="304">
        <f t="shared" ca="1" si="213"/>
        <v>3.8531893258586316</v>
      </c>
      <c r="G492" s="306">
        <f t="shared" ca="1" si="214"/>
        <v>14.262089357712243</v>
      </c>
      <c r="H492" s="307">
        <f t="shared" ca="1" si="215"/>
        <v>-110.20761371952207</v>
      </c>
      <c r="I492" s="304">
        <f t="shared" ca="1" si="216"/>
        <v>111.12661838910945</v>
      </c>
      <c r="J492" s="306">
        <f t="shared" ca="1" si="217"/>
        <v>736.26367600142635</v>
      </c>
      <c r="K492" s="307">
        <f t="shared" ca="1" si="218"/>
        <v>445.51266606697266</v>
      </c>
      <c r="L492" s="304">
        <f t="shared" ca="1" si="203"/>
        <v>860.5612913821044</v>
      </c>
      <c r="M492" s="306">
        <f t="shared" ca="1" si="219"/>
        <v>-1.4421004717964476</v>
      </c>
      <c r="N492" s="304">
        <f t="shared" ca="1" si="220"/>
        <v>-82.626270667761261</v>
      </c>
      <c r="P492" s="310">
        <f t="shared" ca="1" si="221"/>
        <v>23</v>
      </c>
      <c r="Q492" s="304">
        <f t="shared" ca="1" si="222"/>
        <v>0</v>
      </c>
      <c r="R492" s="306">
        <f t="shared" ca="1" si="223"/>
        <v>0</v>
      </c>
      <c r="S492" s="307">
        <f t="shared" ca="1" si="224"/>
        <v>7.4799999999999969</v>
      </c>
      <c r="T492" s="304">
        <f t="shared" ca="1" si="204"/>
        <v>73.37879999999997</v>
      </c>
      <c r="U492" s="311">
        <f t="shared" ca="1" si="205"/>
        <v>0</v>
      </c>
      <c r="V492" s="306">
        <f t="shared" ca="1" si="206"/>
        <v>1.1716139074284189</v>
      </c>
      <c r="W492" s="304">
        <f t="shared" ca="1" si="207"/>
        <v>45.900441784176984</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3.637829627979249</v>
      </c>
      <c r="AH492" s="304">
        <f t="shared" ca="1" si="231"/>
        <v>-6.0895973916026893</v>
      </c>
    </row>
    <row r="493" spans="1:34" x14ac:dyDescent="0.2">
      <c r="A493" s="347">
        <f t="shared" ca="1" si="209"/>
        <v>0.1</v>
      </c>
      <c r="B493" s="304">
        <f t="shared" ca="1" si="210"/>
        <v>30.900000000000173</v>
      </c>
      <c r="D493" s="306">
        <f t="shared" ca="1" si="211"/>
        <v>-0.7875539643895777</v>
      </c>
      <c r="E493" s="307">
        <f t="shared" ca="1" si="212"/>
        <v>-3.7243248290061599</v>
      </c>
      <c r="F493" s="304">
        <f t="shared" ca="1" si="213"/>
        <v>3.8066831597569957</v>
      </c>
      <c r="G493" s="306">
        <f t="shared" ca="1" si="214"/>
        <v>14.183333961273286</v>
      </c>
      <c r="H493" s="307">
        <f t="shared" ca="1" si="215"/>
        <v>-110.58004620242269</v>
      </c>
      <c r="I493" s="304">
        <f t="shared" ca="1" si="216"/>
        <v>111.48593445088464</v>
      </c>
      <c r="J493" s="306">
        <f t="shared" ca="1" si="217"/>
        <v>737.68594716737562</v>
      </c>
      <c r="K493" s="307">
        <f t="shared" ca="1" si="218"/>
        <v>434.47328307087542</v>
      </c>
      <c r="L493" s="304">
        <f t="shared" ca="1" si="203"/>
        <v>856.12358357343078</v>
      </c>
      <c r="M493" s="306">
        <f t="shared" ca="1" si="219"/>
        <v>-1.4432297841414272</v>
      </c>
      <c r="N493" s="304">
        <f t="shared" ca="1" si="220"/>
        <v>-82.690975498880604</v>
      </c>
      <c r="P493" s="310">
        <f t="shared" ca="1" si="221"/>
        <v>23</v>
      </c>
      <c r="Q493" s="304">
        <f t="shared" ca="1" si="222"/>
        <v>0</v>
      </c>
      <c r="R493" s="306">
        <f t="shared" ca="1" si="223"/>
        <v>0</v>
      </c>
      <c r="S493" s="307">
        <f t="shared" ca="1" si="224"/>
        <v>7.4799999999999969</v>
      </c>
      <c r="T493" s="304">
        <f t="shared" ca="1" si="204"/>
        <v>73.37879999999997</v>
      </c>
      <c r="U493" s="311">
        <f t="shared" ca="1" si="205"/>
        <v>0</v>
      </c>
      <c r="V493" s="306">
        <f t="shared" ca="1" si="206"/>
        <v>1.1729086380755651</v>
      </c>
      <c r="W493" s="304">
        <f t="shared" ca="1" si="207"/>
        <v>46.248802375744546</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3.5924497019169186</v>
      </c>
      <c r="AH493" s="304">
        <f t="shared" ca="1" si="231"/>
        <v>-6.136422698419385</v>
      </c>
    </row>
    <row r="494" spans="1:34" x14ac:dyDescent="0.2">
      <c r="A494" s="347">
        <f t="shared" ca="1" si="209"/>
        <v>0.1</v>
      </c>
      <c r="B494" s="304">
        <f t="shared" ca="1" si="210"/>
        <v>31.000000000000174</v>
      </c>
      <c r="D494" s="306">
        <f t="shared" ca="1" si="211"/>
        <v>-0.7866057989520775</v>
      </c>
      <c r="E494" s="307">
        <f t="shared" ca="1" si="212"/>
        <v>-3.6772454707253068</v>
      </c>
      <c r="F494" s="304">
        <f t="shared" ca="1" si="213"/>
        <v>3.7604365351531754</v>
      </c>
      <c r="G494" s="306">
        <f t="shared" ca="1" si="214"/>
        <v>14.104673381378078</v>
      </c>
      <c r="H494" s="307">
        <f t="shared" ca="1" si="215"/>
        <v>-110.94777074949522</v>
      </c>
      <c r="I494" s="304">
        <f t="shared" ca="1" si="216"/>
        <v>111.840733391184</v>
      </c>
      <c r="J494" s="306">
        <f t="shared" ca="1" si="217"/>
        <v>739.10034753450816</v>
      </c>
      <c r="K494" s="307">
        <f t="shared" ca="1" si="218"/>
        <v>423.39689222327951</v>
      </c>
      <c r="L494" s="304">
        <f t="shared" ca="1" si="203"/>
        <v>851.78298413971743</v>
      </c>
      <c r="M494" s="306">
        <f t="shared" ca="1" si="219"/>
        <v>-1.4443456894453497</v>
      </c>
      <c r="N494" s="304">
        <f t="shared" ca="1" si="220"/>
        <v>-82.754912163131635</v>
      </c>
      <c r="P494" s="310">
        <f t="shared" ca="1" si="221"/>
        <v>23</v>
      </c>
      <c r="Q494" s="304">
        <f t="shared" ca="1" si="222"/>
        <v>0</v>
      </c>
      <c r="R494" s="306">
        <f t="shared" ca="1" si="223"/>
        <v>0</v>
      </c>
      <c r="S494" s="307">
        <f t="shared" ca="1" si="224"/>
        <v>7.4799999999999969</v>
      </c>
      <c r="T494" s="304">
        <f t="shared" ca="1" si="204"/>
        <v>73.37879999999997</v>
      </c>
      <c r="U494" s="311">
        <f t="shared" ca="1" si="205"/>
        <v>0</v>
      </c>
      <c r="V494" s="306">
        <f t="shared" ca="1" si="206"/>
        <v>1.1742091158282284</v>
      </c>
      <c r="W494" s="304">
        <f t="shared" ca="1" si="207"/>
        <v>46.595246093183519</v>
      </c>
      <c r="Y494" s="314" t="str">
        <f t="shared" ca="1" si="225"/>
        <v/>
      </c>
      <c r="Z494" s="315" t="str">
        <f t="shared" ca="1" si="226"/>
        <v/>
      </c>
      <c r="AA494" s="316" t="str">
        <f t="shared" ca="1" si="227"/>
        <v/>
      </c>
      <c r="AC494" s="310">
        <f t="shared" ca="1" si="228"/>
        <v>31.000000000000174</v>
      </c>
      <c r="AD494" s="323">
        <f t="shared" ca="1" si="229"/>
        <v>739.10034753450816</v>
      </c>
      <c r="AE494" s="324" t="e">
        <f t="shared" ca="1" si="208"/>
        <v>#N/A</v>
      </c>
      <c r="AG494" s="306">
        <f t="shared" ca="1" si="230"/>
        <v>3.5472930576930226</v>
      </c>
      <c r="AH494" s="304">
        <f t="shared" ca="1" si="231"/>
        <v>-6.182994970019327</v>
      </c>
    </row>
    <row r="495" spans="1:34" x14ac:dyDescent="0.2">
      <c r="A495" s="347">
        <f t="shared" ca="1" si="209"/>
        <v>0.1</v>
      </c>
      <c r="B495" s="304">
        <f t="shared" ca="1" si="210"/>
        <v>31.100000000000176</v>
      </c>
      <c r="D495" s="306">
        <f t="shared" ca="1" si="211"/>
        <v>-0.78560283028938738</v>
      </c>
      <c r="E495" s="307">
        <f t="shared" ca="1" si="212"/>
        <v>-3.63042530455352</v>
      </c>
      <c r="F495" s="304">
        <f t="shared" ca="1" si="213"/>
        <v>3.714452812851607</v>
      </c>
      <c r="G495" s="306">
        <f t="shared" ca="1" si="214"/>
        <v>14.026113098349139</v>
      </c>
      <c r="H495" s="307">
        <f t="shared" ca="1" si="215"/>
        <v>-111.31081327995057</v>
      </c>
      <c r="I495" s="304">
        <f t="shared" ca="1" si="216"/>
        <v>112.1910379740365</v>
      </c>
      <c r="J495" s="306">
        <f t="shared" ca="1" si="217"/>
        <v>740.50688685849457</v>
      </c>
      <c r="K495" s="307">
        <f t="shared" ca="1" si="218"/>
        <v>412.28396302180721</v>
      </c>
      <c r="L495" s="304">
        <f t="shared" ca="1" si="203"/>
        <v>847.54263352932639</v>
      </c>
      <c r="M495" s="306">
        <f t="shared" ca="1" si="219"/>
        <v>-1.4454484315494456</v>
      </c>
      <c r="N495" s="304">
        <f t="shared" ca="1" si="220"/>
        <v>-82.818094631587698</v>
      </c>
      <c r="P495" s="310">
        <f t="shared" ca="1" si="221"/>
        <v>23</v>
      </c>
      <c r="Q495" s="304">
        <f t="shared" ca="1" si="222"/>
        <v>0</v>
      </c>
      <c r="R495" s="306">
        <f t="shared" ca="1" si="223"/>
        <v>0</v>
      </c>
      <c r="S495" s="307">
        <f t="shared" ca="1" si="224"/>
        <v>7.4799999999999969</v>
      </c>
      <c r="T495" s="304">
        <f t="shared" ca="1" si="204"/>
        <v>73.37879999999997</v>
      </c>
      <c r="U495" s="311">
        <f t="shared" ca="1" si="205"/>
        <v>0</v>
      </c>
      <c r="V495" s="306">
        <f t="shared" ca="1" si="206"/>
        <v>1.1755153019018705</v>
      </c>
      <c r="W495" s="304">
        <f t="shared" ca="1" si="207"/>
        <v>46.939749599447815</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3.5023636845618995</v>
      </c>
      <c r="AH495" s="304">
        <f t="shared" ca="1" si="231"/>
        <v>-6.2293109750245375</v>
      </c>
    </row>
    <row r="496" spans="1:34" x14ac:dyDescent="0.2">
      <c r="A496" s="347">
        <f t="shared" ca="1" si="209"/>
        <v>0.1</v>
      </c>
      <c r="B496" s="304">
        <f t="shared" ca="1" si="210"/>
        <v>31.200000000000177</v>
      </c>
      <c r="D496" s="306">
        <f t="shared" ca="1" si="211"/>
        <v>-0.784545870951322</v>
      </c>
      <c r="E496" s="307">
        <f t="shared" ca="1" si="212"/>
        <v>-3.5838674757087743</v>
      </c>
      <c r="F496" s="304">
        <f t="shared" ca="1" si="213"/>
        <v>3.6687352462490326</v>
      </c>
      <c r="G496" s="306">
        <f t="shared" ca="1" si="214"/>
        <v>13.947658511254007</v>
      </c>
      <c r="H496" s="307">
        <f t="shared" ca="1" si="215"/>
        <v>-111.66920002752144</v>
      </c>
      <c r="I496" s="304">
        <f t="shared" ca="1" si="216"/>
        <v>112.53687134771941</v>
      </c>
      <c r="J496" s="306">
        <f t="shared" ca="1" si="217"/>
        <v>741.90557543897478</v>
      </c>
      <c r="K496" s="307">
        <f t="shared" ca="1" si="218"/>
        <v>401.13496235643362</v>
      </c>
      <c r="L496" s="304">
        <f t="shared" ca="1" si="203"/>
        <v>843.40567990269881</v>
      </c>
      <c r="M496" s="306">
        <f t="shared" ca="1" si="219"/>
        <v>-1.446538248169245</v>
      </c>
      <c r="N496" s="304">
        <f t="shared" ca="1" si="220"/>
        <v>-82.880536524345416</v>
      </c>
      <c r="P496" s="310">
        <f t="shared" ca="1" si="221"/>
        <v>23</v>
      </c>
      <c r="Q496" s="304">
        <f t="shared" ca="1" si="222"/>
        <v>0</v>
      </c>
      <c r="R496" s="306">
        <f t="shared" ca="1" si="223"/>
        <v>0</v>
      </c>
      <c r="S496" s="307">
        <f t="shared" ca="1" si="224"/>
        <v>7.4799999999999969</v>
      </c>
      <c r="T496" s="304">
        <f t="shared" ca="1" si="204"/>
        <v>73.37879999999997</v>
      </c>
      <c r="U496" s="311">
        <f t="shared" ca="1" si="205"/>
        <v>0</v>
      </c>
      <c r="V496" s="306">
        <f t="shared" ca="1" si="206"/>
        <v>1.1768271576759499</v>
      </c>
      <c r="W496" s="304">
        <f t="shared" ca="1" si="207"/>
        <v>47.282290383552088</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3.4576654365357964</v>
      </c>
      <c r="AH496" s="304">
        <f t="shared" ca="1" si="231"/>
        <v>-6.2753675935090687</v>
      </c>
    </row>
    <row r="497" spans="1:34" x14ac:dyDescent="0.2">
      <c r="A497" s="347">
        <f t="shared" ca="1" si="209"/>
        <v>0.1</v>
      </c>
      <c r="B497" s="304">
        <f t="shared" ca="1" si="210"/>
        <v>31.300000000000178</v>
      </c>
      <c r="D497" s="306">
        <f t="shared" ca="1" si="211"/>
        <v>-0.78343573397639554</v>
      </c>
      <c r="E497" s="307">
        <f t="shared" ca="1" si="212"/>
        <v>-3.5375750180198153</v>
      </c>
      <c r="F497" s="304">
        <f t="shared" ca="1" si="213"/>
        <v>3.6232869824772411</v>
      </c>
      <c r="G497" s="306">
        <f t="shared" ca="1" si="214"/>
        <v>13.869314937856368</v>
      </c>
      <c r="H497" s="307">
        <f t="shared" ca="1" si="215"/>
        <v>-112.02295752932342</v>
      </c>
      <c r="I497" s="304">
        <f t="shared" ca="1" si="216"/>
        <v>112.87825703146751</v>
      </c>
      <c r="J497" s="306">
        <f t="shared" ca="1" si="217"/>
        <v>743.29642411143027</v>
      </c>
      <c r="K497" s="307">
        <f t="shared" ca="1" si="218"/>
        <v>389.95035447859135</v>
      </c>
      <c r="L497" s="304">
        <f t="shared" ca="1" si="203"/>
        <v>839.37527546075489</v>
      </c>
      <c r="M497" s="306">
        <f t="shared" ca="1" si="219"/>
        <v>-1.4476153710840283</v>
      </c>
      <c r="N497" s="304">
        <f t="shared" ca="1" si="220"/>
        <v>-82.942251121379329</v>
      </c>
      <c r="P497" s="310">
        <f t="shared" ca="1" si="221"/>
        <v>23</v>
      </c>
      <c r="Q497" s="304">
        <f t="shared" ca="1" si="222"/>
        <v>0</v>
      </c>
      <c r="R497" s="306">
        <f t="shared" ca="1" si="223"/>
        <v>0</v>
      </c>
      <c r="S497" s="307">
        <f t="shared" ca="1" si="224"/>
        <v>7.4799999999999969</v>
      </c>
      <c r="T497" s="304">
        <f t="shared" ca="1" si="204"/>
        <v>73.37879999999997</v>
      </c>
      <c r="U497" s="311">
        <f t="shared" ca="1" si="205"/>
        <v>0</v>
      </c>
      <c r="V497" s="306">
        <f t="shared" ca="1" si="206"/>
        <v>1.1781446446968569</v>
      </c>
      <c r="W497" s="304">
        <f t="shared" ca="1" si="207"/>
        <v>47.622846752752523</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3.4132020342894078</v>
      </c>
      <c r="AH497" s="304">
        <f t="shared" ca="1" si="231"/>
        <v>-6.3211618159829017</v>
      </c>
    </row>
    <row r="498" spans="1:34" x14ac:dyDescent="0.2">
      <c r="A498" s="347">
        <f t="shared" ca="1" si="209"/>
        <v>0.1</v>
      </c>
      <c r="B498" s="304">
        <f t="shared" ca="1" si="210"/>
        <v>31.40000000000018</v>
      </c>
      <c r="D498" s="306">
        <f t="shared" ca="1" si="211"/>
        <v>-0.78227323259361892</v>
      </c>
      <c r="E498" s="307">
        <f t="shared" ca="1" si="212"/>
        <v>-3.4915508549764063</v>
      </c>
      <c r="F498" s="304">
        <f t="shared" ca="1" si="213"/>
        <v>3.5781110635807467</v>
      </c>
      <c r="G498" s="306">
        <f t="shared" ca="1" si="214"/>
        <v>13.791087614597005</v>
      </c>
      <c r="H498" s="307">
        <f t="shared" ca="1" si="215"/>
        <v>-112.37211261482106</v>
      </c>
      <c r="I498" s="304">
        <f t="shared" ca="1" si="216"/>
        <v>113.21521890236983</v>
      </c>
      <c r="J498" s="306">
        <f t="shared" ca="1" si="217"/>
        <v>744.67944423905294</v>
      </c>
      <c r="K498" s="307">
        <f t="shared" ca="1" si="218"/>
        <v>378.73060097138415</v>
      </c>
      <c r="L498" s="304">
        <f t="shared" ca="1" si="203"/>
        <v>835.45457254379221</v>
      </c>
      <c r="M498" s="306">
        <f t="shared" ca="1" si="219"/>
        <v>-1.4486800263193826</v>
      </c>
      <c r="N498" s="304">
        <f t="shared" ca="1" si="220"/>
        <v>-83.003251373001646</v>
      </c>
      <c r="P498" s="310">
        <f t="shared" ca="1" si="221"/>
        <v>23</v>
      </c>
      <c r="Q498" s="304">
        <f t="shared" ca="1" si="222"/>
        <v>0</v>
      </c>
      <c r="R498" s="306">
        <f t="shared" ca="1" si="223"/>
        <v>0</v>
      </c>
      <c r="S498" s="307">
        <f t="shared" ca="1" si="224"/>
        <v>7.4799999999999969</v>
      </c>
      <c r="T498" s="304">
        <f t="shared" ca="1" si="204"/>
        <v>73.37879999999997</v>
      </c>
      <c r="U498" s="311">
        <f t="shared" ca="1" si="205"/>
        <v>0</v>
      </c>
      <c r="V498" s="306">
        <f t="shared" ca="1" si="206"/>
        <v>1.1794677246807681</v>
      </c>
      <c r="W498" s="304">
        <f t="shared" ca="1" si="207"/>
        <v>47.961397824517626</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3.3689770670553987</v>
      </c>
      <c r="AH498" s="304">
        <f t="shared" ca="1" si="231"/>
        <v>-6.3666907423465968</v>
      </c>
    </row>
    <row r="499" spans="1:34" x14ac:dyDescent="0.2">
      <c r="A499" s="347">
        <f t="shared" ca="1" si="209"/>
        <v>0.1</v>
      </c>
      <c r="B499" s="304">
        <f t="shared" ca="1" si="210"/>
        <v>31.500000000000181</v>
      </c>
      <c r="D499" s="306">
        <f t="shared" ca="1" si="211"/>
        <v>-0.78105917993117024</v>
      </c>
      <c r="E499" s="307">
        <f t="shared" ca="1" si="212"/>
        <v>-3.4457978008081813</v>
      </c>
      <c r="F499" s="304">
        <f t="shared" ca="1" si="213"/>
        <v>3.5332104277284775</v>
      </c>
      <c r="G499" s="306">
        <f t="shared" ca="1" si="214"/>
        <v>13.712981696603888</v>
      </c>
      <c r="H499" s="307">
        <f t="shared" ca="1" si="215"/>
        <v>-112.71669239490188</v>
      </c>
      <c r="I499" s="304">
        <f t="shared" ca="1" si="216"/>
        <v>113.54778118245343</v>
      </c>
      <c r="J499" s="306">
        <f t="shared" ca="1" si="217"/>
        <v>746.05464770461299</v>
      </c>
      <c r="K499" s="307">
        <f t="shared" ca="1" si="218"/>
        <v>367.47616072089801</v>
      </c>
      <c r="L499" s="304">
        <f t="shared" ca="1" si="203"/>
        <v>831.646719502834</v>
      </c>
      <c r="M499" s="306">
        <f t="shared" ca="1" si="219"/>
        <v>-1.4497324343231526</v>
      </c>
      <c r="N499" s="304">
        <f t="shared" ca="1" si="220"/>
        <v>-83.063549909943447</v>
      </c>
      <c r="P499" s="310">
        <f t="shared" ca="1" si="221"/>
        <v>23</v>
      </c>
      <c r="Q499" s="304">
        <f t="shared" ca="1" si="222"/>
        <v>0</v>
      </c>
      <c r="R499" s="306">
        <f t="shared" ca="1" si="223"/>
        <v>0</v>
      </c>
      <c r="S499" s="307">
        <f t="shared" ca="1" si="224"/>
        <v>7.4799999999999969</v>
      </c>
      <c r="T499" s="304">
        <f t="shared" ca="1" si="204"/>
        <v>73.37879999999997</v>
      </c>
      <c r="U499" s="311">
        <f t="shared" ca="1" si="205"/>
        <v>0</v>
      </c>
      <c r="V499" s="306">
        <f t="shared" ca="1" si="206"/>
        <v>1.1807963595164297</v>
      </c>
      <c r="W499" s="304">
        <f t="shared" ca="1" si="207"/>
        <v>48.297923518299804</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3.3249939945116687</v>
      </c>
      <c r="AH499" s="304">
        <f t="shared" ca="1" si="231"/>
        <v>-6.4119515808178669</v>
      </c>
    </row>
    <row r="500" spans="1:34" x14ac:dyDescent="0.2">
      <c r="A500" s="347">
        <f t="shared" ca="1" si="209"/>
        <v>0.1</v>
      </c>
      <c r="B500" s="304">
        <f t="shared" ca="1" si="210"/>
        <v>31.600000000000183</v>
      </c>
      <c r="D500" s="306">
        <f t="shared" ca="1" si="211"/>
        <v>-0.77979438873194717</v>
      </c>
      <c r="E500" s="307">
        <f t="shared" ca="1" si="212"/>
        <v>-3.4003185615906304</v>
      </c>
      <c r="F500" s="304">
        <f t="shared" ca="1" si="213"/>
        <v>3.4885879104582709</v>
      </c>
      <c r="G500" s="306">
        <f t="shared" ca="1" si="214"/>
        <v>13.635002257730694</v>
      </c>
      <c r="H500" s="307">
        <f t="shared" ca="1" si="215"/>
        <v>-113.05672425106094</v>
      </c>
      <c r="I500" s="304">
        <f t="shared" ca="1" si="216"/>
        <v>113.87596842595347</v>
      </c>
      <c r="J500" s="306">
        <f t="shared" ca="1" si="217"/>
        <v>747.42204690232973</v>
      </c>
      <c r="K500" s="307">
        <f t="shared" ca="1" si="218"/>
        <v>356.18748988859988</v>
      </c>
      <c r="L500" s="304">
        <f t="shared" ca="1" si="203"/>
        <v>827.95485634713793</v>
      </c>
      <c r="M500" s="306">
        <f t="shared" ca="1" si="219"/>
        <v>-1.4507728101350601</v>
      </c>
      <c r="N500" s="304">
        <f t="shared" ca="1" si="220"/>
        <v>-83.123159053073252</v>
      </c>
      <c r="P500" s="310">
        <f t="shared" ca="1" si="221"/>
        <v>23</v>
      </c>
      <c r="Q500" s="304">
        <f t="shared" ca="1" si="222"/>
        <v>0</v>
      </c>
      <c r="R500" s="306">
        <f t="shared" ca="1" si="223"/>
        <v>0</v>
      </c>
      <c r="S500" s="307">
        <f t="shared" ca="1" si="224"/>
        <v>7.4799999999999969</v>
      </c>
      <c r="T500" s="304">
        <f t="shared" ca="1" si="204"/>
        <v>73.37879999999997</v>
      </c>
      <c r="U500" s="311">
        <f t="shared" ca="1" si="205"/>
        <v>0</v>
      </c>
      <c r="V500" s="306">
        <f t="shared" ca="1" si="206"/>
        <v>1.1821305112678617</v>
      </c>
      <c r="W500" s="304">
        <f t="shared" ca="1" si="207"/>
        <v>48.632404547116643</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3.2812561486605727</v>
      </c>
      <c r="AH500" s="304">
        <f t="shared" ca="1" si="231"/>
        <v>-6.4569416468315275</v>
      </c>
    </row>
    <row r="501" spans="1:34" x14ac:dyDescent="0.2">
      <c r="A501" s="347">
        <f t="shared" ca="1" si="209"/>
        <v>0.1</v>
      </c>
      <c r="B501" s="304">
        <f t="shared" ca="1" si="210"/>
        <v>31.700000000000184</v>
      </c>
      <c r="D501" s="306">
        <f t="shared" ca="1" si="211"/>
        <v>-0.77847967107594396</v>
      </c>
      <c r="E501" s="307">
        <f t="shared" ca="1" si="212"/>
        <v>-3.3551157363770177</v>
      </c>
      <c r="F501" s="304">
        <f t="shared" ca="1" si="213"/>
        <v>3.4442462459532721</v>
      </c>
      <c r="G501" s="306">
        <f t="shared" ca="1" si="214"/>
        <v>13.5571542906231</v>
      </c>
      <c r="H501" s="307">
        <f t="shared" ca="1" si="215"/>
        <v>-113.39223582469864</v>
      </c>
      <c r="I501" s="304">
        <f t="shared" ca="1" si="216"/>
        <v>114.19980550676884</v>
      </c>
      <c r="J501" s="306">
        <f t="shared" ca="1" si="217"/>
        <v>748.7816547297474</v>
      </c>
      <c r="K501" s="307">
        <f t="shared" ca="1" si="218"/>
        <v>344.86504188481189</v>
      </c>
      <c r="L501" s="304">
        <f t="shared" ca="1" si="203"/>
        <v>824.38211017345088</v>
      </c>
      <c r="M501" s="306">
        <f t="shared" ca="1" si="219"/>
        <v>-1.4518013635502525</v>
      </c>
      <c r="N501" s="304">
        <f t="shared" ca="1" si="220"/>
        <v>-83.182090822767535</v>
      </c>
      <c r="P501" s="310">
        <f t="shared" ca="1" si="221"/>
        <v>23</v>
      </c>
      <c r="Q501" s="304">
        <f t="shared" ca="1" si="222"/>
        <v>0</v>
      </c>
      <c r="R501" s="306">
        <f t="shared" ca="1" si="223"/>
        <v>0</v>
      </c>
      <c r="S501" s="307">
        <f t="shared" ca="1" si="224"/>
        <v>7.4799999999999969</v>
      </c>
      <c r="T501" s="304">
        <f t="shared" ca="1" si="204"/>
        <v>73.37879999999997</v>
      </c>
      <c r="U501" s="311">
        <f t="shared" ca="1" si="205"/>
        <v>0</v>
      </c>
      <c r="V501" s="306">
        <f t="shared" ca="1" si="206"/>
        <v>1.1834701421769909</v>
      </c>
      <c r="W501" s="304">
        <f t="shared" ca="1" si="207"/>
        <v>48.964822408952145</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3.2377667357006858</v>
      </c>
      <c r="AH501" s="304">
        <f t="shared" ca="1" si="231"/>
        <v>-6.501658361913992</v>
      </c>
    </row>
    <row r="502" spans="1:34" x14ac:dyDescent="0.2">
      <c r="A502" s="347">
        <f t="shared" ca="1" si="209"/>
        <v>0.1</v>
      </c>
      <c r="B502" s="304">
        <f t="shared" ca="1" si="210"/>
        <v>31.800000000000185</v>
      </c>
      <c r="D502" s="306">
        <f t="shared" ca="1" si="211"/>
        <v>-0.77711583810947826</v>
      </c>
      <c r="E502" s="307">
        <f t="shared" ca="1" si="212"/>
        <v>-3.3101918183548049</v>
      </c>
      <c r="F502" s="304">
        <f t="shared" ca="1" si="213"/>
        <v>3.4001880683491152</v>
      </c>
      <c r="G502" s="306">
        <f t="shared" ca="1" si="214"/>
        <v>13.479442706812153</v>
      </c>
      <c r="H502" s="307">
        <f t="shared" ca="1" si="215"/>
        <v>-113.72325500653413</v>
      </c>
      <c r="I502" s="304">
        <f t="shared" ca="1" si="216"/>
        <v>114.51931760610269</v>
      </c>
      <c r="J502" s="306">
        <f t="shared" ca="1" si="217"/>
        <v>750.13348457961911</v>
      </c>
      <c r="K502" s="307">
        <f t="shared" ca="1" si="218"/>
        <v>333.50926734325026</v>
      </c>
      <c r="L502" s="304">
        <f t="shared" ca="1" si="203"/>
        <v>820.93159038460271</v>
      </c>
      <c r="M502" s="306">
        <f t="shared" ca="1" si="219"/>
        <v>-1.4528182992770347</v>
      </c>
      <c r="N502" s="304">
        <f t="shared" ca="1" si="220"/>
        <v>-83.240356947948229</v>
      </c>
      <c r="P502" s="310">
        <f t="shared" ca="1" si="221"/>
        <v>23</v>
      </c>
      <c r="Q502" s="304">
        <f t="shared" ca="1" si="222"/>
        <v>0</v>
      </c>
      <c r="R502" s="306">
        <f t="shared" ca="1" si="223"/>
        <v>0</v>
      </c>
      <c r="S502" s="307">
        <f t="shared" ca="1" si="224"/>
        <v>7.4799999999999969</v>
      </c>
      <c r="T502" s="304">
        <f t="shared" ca="1" si="204"/>
        <v>73.37879999999997</v>
      </c>
      <c r="U502" s="311">
        <f t="shared" ca="1" si="205"/>
        <v>0</v>
      </c>
      <c r="V502" s="306">
        <f t="shared" ca="1" si="206"/>
        <v>1.1848152146662028</v>
      </c>
      <c r="W502" s="304">
        <f t="shared" ca="1" si="207"/>
        <v>49.295159377986593</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3.1945288378911956</v>
      </c>
      <c r="AH502" s="304">
        <f t="shared" ca="1" si="231"/>
        <v>-6.5460992525337121</v>
      </c>
    </row>
    <row r="503" spans="1:34" x14ac:dyDescent="0.2">
      <c r="A503" s="347">
        <f t="shared" ca="1" si="209"/>
        <v>0.1</v>
      </c>
      <c r="B503" s="304">
        <f t="shared" ca="1" si="210"/>
        <v>31.900000000000187</v>
      </c>
      <c r="D503" s="306">
        <f t="shared" ca="1" si="211"/>
        <v>-0.7757036997811676</v>
      </c>
      <c r="E503" s="307">
        <f t="shared" ca="1" si="212"/>
        <v>-3.2655491960254448</v>
      </c>
      <c r="F503" s="304">
        <f t="shared" ca="1" si="213"/>
        <v>3.3564159130710576</v>
      </c>
      <c r="G503" s="306">
        <f t="shared" ca="1" si="214"/>
        <v>13.401872336834035</v>
      </c>
      <c r="H503" s="307">
        <f t="shared" ca="1" si="215"/>
        <v>-114.04980992613667</v>
      </c>
      <c r="I503" s="304">
        <f t="shared" ca="1" si="216"/>
        <v>114.83453020028732</v>
      </c>
      <c r="J503" s="306">
        <f t="shared" ca="1" si="217"/>
        <v>751.47755033180147</v>
      </c>
      <c r="K503" s="307">
        <f t="shared" ca="1" si="218"/>
        <v>322.12061409661669</v>
      </c>
      <c r="L503" s="304">
        <f t="shared" ca="1" si="203"/>
        <v>817.6063837071398</v>
      </c>
      <c r="M503" s="306">
        <f t="shared" ca="1" si="219"/>
        <v>-1.4538238170890161</v>
      </c>
      <c r="N503" s="304">
        <f t="shared" ca="1" si="220"/>
        <v>-83.297968874799992</v>
      </c>
      <c r="P503" s="310">
        <f t="shared" ca="1" si="221"/>
        <v>23</v>
      </c>
      <c r="Q503" s="304">
        <f t="shared" ca="1" si="222"/>
        <v>0</v>
      </c>
      <c r="R503" s="306">
        <f t="shared" ca="1" si="223"/>
        <v>0</v>
      </c>
      <c r="S503" s="307">
        <f t="shared" ca="1" si="224"/>
        <v>7.4799999999999969</v>
      </c>
      <c r="T503" s="304">
        <f t="shared" ca="1" si="204"/>
        <v>73.37879999999997</v>
      </c>
      <c r="U503" s="311">
        <f t="shared" ca="1" si="205"/>
        <v>0</v>
      </c>
      <c r="V503" s="306">
        <f t="shared" ca="1" si="206"/>
        <v>1.1861656913408301</v>
      </c>
      <c r="W503" s="304">
        <f t="shared" ca="1" si="207"/>
        <v>49.62339849566532</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3.1515454154093625</v>
      </c>
      <c r="AH503" s="304">
        <f t="shared" ca="1" si="231"/>
        <v>-6.590261948928692</v>
      </c>
    </row>
    <row r="504" spans="1:34" x14ac:dyDescent="0.2">
      <c r="A504" s="347">
        <f t="shared" ca="1" si="209"/>
        <v>0.1</v>
      </c>
      <c r="B504" s="304">
        <f t="shared" ca="1" si="210"/>
        <v>32.000000000000185</v>
      </c>
      <c r="D504" s="306">
        <f t="shared" ca="1" si="211"/>
        <v>-0.77424406458470063</v>
      </c>
      <c r="E504" s="307">
        <f t="shared" ca="1" si="212"/>
        <v>-3.2211901544060986</v>
      </c>
      <c r="F504" s="304">
        <f t="shared" ca="1" si="213"/>
        <v>3.3129322181999776</v>
      </c>
      <c r="G504" s="306">
        <f t="shared" ca="1" si="214"/>
        <v>13.324447930375566</v>
      </c>
      <c r="H504" s="307">
        <f t="shared" ca="1" si="215"/>
        <v>-114.37192894157728</v>
      </c>
      <c r="I504" s="304">
        <f t="shared" ca="1" si="216"/>
        <v>115.14546904879276</v>
      </c>
      <c r="J504" s="306">
        <f t="shared" ca="1" si="217"/>
        <v>752.81386634516195</v>
      </c>
      <c r="K504" s="307">
        <f t="shared" ca="1" si="218"/>
        <v>310.69952715323097</v>
      </c>
      <c r="L504" s="304">
        <f t="shared" ca="1" si="203"/>
        <v>814.40954901989744</v>
      </c>
      <c r="M504" s="306">
        <f t="shared" ca="1" si="219"/>
        <v>-1.4548181119719052</v>
      </c>
      <c r="N504" s="304">
        <f t="shared" ca="1" si="220"/>
        <v>-83.354937775181</v>
      </c>
      <c r="P504" s="310">
        <f t="shared" ca="1" si="221"/>
        <v>23</v>
      </c>
      <c r="Q504" s="304">
        <f t="shared" ca="1" si="222"/>
        <v>0</v>
      </c>
      <c r="R504" s="306">
        <f t="shared" ca="1" si="223"/>
        <v>0</v>
      </c>
      <c r="S504" s="307">
        <f t="shared" ca="1" si="224"/>
        <v>7.4799999999999969</v>
      </c>
      <c r="T504" s="304">
        <f t="shared" ca="1" si="204"/>
        <v>73.37879999999997</v>
      </c>
      <c r="U504" s="311">
        <f t="shared" ca="1" si="205"/>
        <v>0</v>
      </c>
      <c r="V504" s="306">
        <f t="shared" ca="1" si="206"/>
        <v>1.1875215349915567</v>
      </c>
      <c r="W504" s="304">
        <f t="shared" ca="1" si="207"/>
        <v>49.949523561614704</v>
      </c>
      <c r="Y504" s="314" t="str">
        <f t="shared" ca="1" si="225"/>
        <v/>
      </c>
      <c r="Z504" s="315" t="str">
        <f t="shared" ca="1" si="226"/>
        <v/>
      </c>
      <c r="AA504" s="316" t="str">
        <f t="shared" ca="1" si="227"/>
        <v/>
      </c>
      <c r="AC504" s="310">
        <f t="shared" ca="1" si="228"/>
        <v>32.000000000000185</v>
      </c>
      <c r="AD504" s="323">
        <f t="shared" ca="1" si="229"/>
        <v>752.81386634516195</v>
      </c>
      <c r="AE504" s="324" t="e">
        <f t="shared" ca="1" si="208"/>
        <v>#N/A</v>
      </c>
      <c r="AG504" s="306">
        <f t="shared" ca="1" si="230"/>
        <v>3.108819308200987</v>
      </c>
      <c r="AH504" s="304">
        <f t="shared" ca="1" si="231"/>
        <v>-6.6341441839124791</v>
      </c>
    </row>
    <row r="505" spans="1:34" x14ac:dyDescent="0.2">
      <c r="A505" s="347">
        <f t="shared" ca="1" si="209"/>
        <v>0.1</v>
      </c>
      <c r="B505" s="304">
        <f t="shared" ca="1" si="210"/>
        <v>32.100000000000186</v>
      </c>
      <c r="D505" s="306">
        <f t="shared" ca="1" si="211"/>
        <v>-0.77273773930830703</v>
      </c>
      <c r="E505" s="307">
        <f t="shared" ca="1" si="212"/>
        <v>-3.17711687625218</v>
      </c>
      <c r="F505" s="304">
        <f t="shared" ca="1" si="213"/>
        <v>3.2697393258664706</v>
      </c>
      <c r="G505" s="306">
        <f t="shared" ca="1" si="214"/>
        <v>13.247174156444736</v>
      </c>
      <c r="H505" s="307">
        <f t="shared" ca="1" si="215"/>
        <v>-114.6896406292025</v>
      </c>
      <c r="I505" s="304">
        <f t="shared" ca="1" si="216"/>
        <v>115.45216018241838</v>
      </c>
      <c r="J505" s="306">
        <f t="shared" ca="1" si="217"/>
        <v>754.14244744950292</v>
      </c>
      <c r="K505" s="307">
        <f t="shared" ca="1" si="218"/>
        <v>299.24644867469198</v>
      </c>
      <c r="L505" s="304">
        <f t="shared" ca="1" si="203"/>
        <v>811.34411200768648</v>
      </c>
      <c r="M505" s="306">
        <f t="shared" ca="1" si="219"/>
        <v>-1.4558013742651665</v>
      </c>
      <c r="N505" s="304">
        <f t="shared" ca="1" si="220"/>
        <v>-83.411274554739222</v>
      </c>
      <c r="P505" s="310">
        <f t="shared" ca="1" si="221"/>
        <v>23</v>
      </c>
      <c r="Q505" s="304">
        <f t="shared" ca="1" si="222"/>
        <v>0</v>
      </c>
      <c r="R505" s="306">
        <f t="shared" ca="1" si="223"/>
        <v>0</v>
      </c>
      <c r="S505" s="307">
        <f t="shared" ca="1" si="224"/>
        <v>7.4799999999999969</v>
      </c>
      <c r="T505" s="304">
        <f t="shared" ca="1" si="204"/>
        <v>73.37879999999997</v>
      </c>
      <c r="U505" s="311">
        <f t="shared" ca="1" si="205"/>
        <v>0</v>
      </c>
      <c r="V505" s="306">
        <f t="shared" ca="1" si="206"/>
        <v>1.188882708596759</v>
      </c>
      <c r="W505" s="304">
        <f t="shared" ca="1" si="207"/>
        <v>50.273519124415188</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3.0663532378241865</v>
      </c>
      <c r="AH505" s="304">
        <f t="shared" ca="1" si="231"/>
        <v>-6.6777437916597222</v>
      </c>
    </row>
    <row r="506" spans="1:34" x14ac:dyDescent="0.2">
      <c r="A506" s="347">
        <f t="shared" ca="1" si="209"/>
        <v>0.1</v>
      </c>
      <c r="B506" s="304">
        <f t="shared" ca="1" si="210"/>
        <v>32.200000000000188</v>
      </c>
      <c r="D506" s="306">
        <f t="shared" ca="1" si="211"/>
        <v>-0.77118552879091695</v>
      </c>
      <c r="E506" s="307">
        <f t="shared" ca="1" si="212"/>
        <v>-3.133331443299368</v>
      </c>
      <c r="F506" s="304">
        <f t="shared" ca="1" si="213"/>
        <v>3.2268394836720691</v>
      </c>
      <c r="G506" s="306">
        <f t="shared" ca="1" si="214"/>
        <v>13.170055603565643</v>
      </c>
      <c r="H506" s="307">
        <f t="shared" ca="1" si="215"/>
        <v>-115.00297377353243</v>
      </c>
      <c r="I506" s="304">
        <f t="shared" ca="1" si="216"/>
        <v>115.75462989166697</v>
      </c>
      <c r="J506" s="306">
        <f t="shared" ca="1" si="217"/>
        <v>755.46330893750348</v>
      </c>
      <c r="K506" s="307">
        <f t="shared" ca="1" si="218"/>
        <v>287.76181795455523</v>
      </c>
      <c r="L506" s="304">
        <f t="shared" ca="1" si="203"/>
        <v>808.41305965657955</v>
      </c>
      <c r="M506" s="306">
        <f t="shared" ca="1" si="219"/>
        <v>-1.4567737897987438</v>
      </c>
      <c r="N506" s="304">
        <f t="shared" ca="1" si="220"/>
        <v>-83.466989860746168</v>
      </c>
      <c r="P506" s="310">
        <f t="shared" ca="1" si="221"/>
        <v>23</v>
      </c>
      <c r="Q506" s="304">
        <f t="shared" ca="1" si="222"/>
        <v>0</v>
      </c>
      <c r="R506" s="306">
        <f t="shared" ca="1" si="223"/>
        <v>0</v>
      </c>
      <c r="S506" s="307">
        <f t="shared" ca="1" si="224"/>
        <v>7.4799999999999969</v>
      </c>
      <c r="T506" s="304">
        <f t="shared" ca="1" si="204"/>
        <v>73.37879999999997</v>
      </c>
      <c r="U506" s="311">
        <f t="shared" ca="1" si="205"/>
        <v>0</v>
      </c>
      <c r="V506" s="306">
        <f t="shared" ca="1" si="206"/>
        <v>1.1902491753247655</v>
      </c>
      <c r="W506" s="304">
        <f t="shared" ca="1" si="207"/>
        <v>50.595370472239559</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3.0241498092863832</v>
      </c>
      <c r="AH506" s="304">
        <f t="shared" ca="1" si="231"/>
        <v>-6.7210587064726219</v>
      </c>
    </row>
    <row r="507" spans="1:34" x14ac:dyDescent="0.2">
      <c r="A507" s="347">
        <f t="shared" ca="1" si="209"/>
        <v>0.1</v>
      </c>
      <c r="B507" s="304">
        <f t="shared" ca="1" si="210"/>
        <v>32.300000000000189</v>
      </c>
      <c r="D507" s="306">
        <f t="shared" ca="1" si="211"/>
        <v>-0.76958823568497259</v>
      </c>
      <c r="E507" s="307">
        <f t="shared" ca="1" si="212"/>
        <v>-3.0898358375240038</v>
      </c>
      <c r="F507" s="304">
        <f t="shared" ca="1" si="213"/>
        <v>3.1842348461368815</v>
      </c>
      <c r="G507" s="306">
        <f t="shared" ca="1" si="214"/>
        <v>13.093096779997147</v>
      </c>
      <c r="H507" s="307">
        <f t="shared" ca="1" si="215"/>
        <v>-115.31195735728483</v>
      </c>
      <c r="I507" s="304">
        <f t="shared" ca="1" si="216"/>
        <v>116.05290471530061</v>
      </c>
      <c r="J507" s="306">
        <f t="shared" ca="1" si="217"/>
        <v>756.77646655668161</v>
      </c>
      <c r="K507" s="307">
        <f t="shared" ca="1" si="218"/>
        <v>276.24607139801435</v>
      </c>
      <c r="L507" s="304">
        <f t="shared" ca="1" si="203"/>
        <v>805.61933460962393</v>
      </c>
      <c r="M507" s="306">
        <f t="shared" ca="1" si="219"/>
        <v>-1.4577355400250538</v>
      </c>
      <c r="N507" s="304">
        <f t="shared" ca="1" si="220"/>
        <v>-83.522094089659475</v>
      </c>
      <c r="P507" s="310">
        <f t="shared" ca="1" si="221"/>
        <v>23</v>
      </c>
      <c r="Q507" s="304">
        <f t="shared" ca="1" si="222"/>
        <v>0</v>
      </c>
      <c r="R507" s="306">
        <f t="shared" ca="1" si="223"/>
        <v>0</v>
      </c>
      <c r="S507" s="307">
        <f t="shared" ca="1" si="224"/>
        <v>7.4799999999999969</v>
      </c>
      <c r="T507" s="304">
        <f t="shared" ca="1" si="204"/>
        <v>73.37879999999997</v>
      </c>
      <c r="U507" s="311">
        <f t="shared" ca="1" si="205"/>
        <v>0</v>
      </c>
      <c r="V507" s="306">
        <f t="shared" ca="1" si="206"/>
        <v>1.1916208985360539</v>
      </c>
      <c r="W507" s="304">
        <f t="shared" ca="1" si="207"/>
        <v>50.915063623365924</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2.9822115128746427</v>
      </c>
      <c r="AH507" s="304">
        <f t="shared" ca="1" si="231"/>
        <v>-6.7640869615293555</v>
      </c>
    </row>
    <row r="508" spans="1:34" x14ac:dyDescent="0.2">
      <c r="A508" s="347">
        <f t="shared" ca="1" si="209"/>
        <v>0.1</v>
      </c>
      <c r="B508" s="304">
        <f t="shared" ca="1" si="210"/>
        <v>32.40000000000019</v>
      </c>
      <c r="D508" s="306">
        <f t="shared" ca="1" si="211"/>
        <v>-0.76794666022582214</v>
      </c>
      <c r="E508" s="307">
        <f t="shared" ca="1" si="212"/>
        <v>-3.0466319424205333</v>
      </c>
      <c r="F508" s="304">
        <f t="shared" ca="1" si="213"/>
        <v>3.1419274761727243</v>
      </c>
      <c r="G508" s="306">
        <f t="shared" ca="1" si="214"/>
        <v>13.016302113974564</v>
      </c>
      <c r="H508" s="307">
        <f t="shared" ca="1" si="215"/>
        <v>-115.61662055152688</v>
      </c>
      <c r="I508" s="304">
        <f t="shared" ca="1" si="216"/>
        <v>116.34701142907799</v>
      </c>
      <c r="J508" s="306">
        <f t="shared" ca="1" si="217"/>
        <v>758.08193650138014</v>
      </c>
      <c r="K508" s="307">
        <f t="shared" ca="1" si="218"/>
        <v>264.69964250257374</v>
      </c>
      <c r="L508" s="304">
        <f t="shared" ca="1" si="203"/>
        <v>802.96582940413646</v>
      </c>
      <c r="M508" s="306">
        <f t="shared" ca="1" si="219"/>
        <v>-1.4586868021464321</v>
      </c>
      <c r="N508" s="304">
        <f t="shared" ca="1" si="220"/>
        <v>-83.576597394425107</v>
      </c>
      <c r="P508" s="310">
        <f t="shared" ca="1" si="221"/>
        <v>23</v>
      </c>
      <c r="Q508" s="304">
        <f t="shared" ca="1" si="222"/>
        <v>0</v>
      </c>
      <c r="R508" s="306">
        <f t="shared" ca="1" si="223"/>
        <v>0</v>
      </c>
      <c r="S508" s="307">
        <f t="shared" ca="1" si="224"/>
        <v>7.4799999999999969</v>
      </c>
      <c r="T508" s="304">
        <f t="shared" ca="1" si="204"/>
        <v>73.37879999999997</v>
      </c>
      <c r="U508" s="311">
        <f t="shared" ca="1" si="205"/>
        <v>0</v>
      </c>
      <c r="V508" s="306">
        <f t="shared" ca="1" si="206"/>
        <v>1.1929978417853708</v>
      </c>
      <c r="W508" s="304">
        <f t="shared" ca="1" si="207"/>
        <v>51.232585316573719</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2.9405407259792096</v>
      </c>
      <c r="AH508" s="304">
        <f t="shared" ca="1" si="231"/>
        <v>-6.8068266876157679</v>
      </c>
    </row>
    <row r="509" spans="1:34" x14ac:dyDescent="0.2">
      <c r="A509" s="347">
        <f t="shared" ca="1" si="209"/>
        <v>0.1</v>
      </c>
      <c r="B509" s="304">
        <f t="shared" ca="1" si="210"/>
        <v>32.500000000000192</v>
      </c>
      <c r="D509" s="306">
        <f t="shared" ca="1" si="211"/>
        <v>-0.76626160000767685</v>
      </c>
      <c r="E509" s="307">
        <f t="shared" ca="1" si="212"/>
        <v>-3.003721544294927</v>
      </c>
      <c r="F509" s="304">
        <f t="shared" ca="1" si="213"/>
        <v>3.099919346581105</v>
      </c>
      <c r="G509" s="306">
        <f t="shared" ca="1" si="214"/>
        <v>12.939675953973797</v>
      </c>
      <c r="H509" s="307">
        <f t="shared" ca="1" si="215"/>
        <v>-115.91699270595637</v>
      </c>
      <c r="I509" s="304">
        <f t="shared" ca="1" si="216"/>
        <v>116.63697703467194</v>
      </c>
      <c r="J509" s="306">
        <f t="shared" ca="1" si="217"/>
        <v>759.37973540477753</v>
      </c>
      <c r="K509" s="307">
        <f t="shared" ca="1" si="218"/>
        <v>253.12296183969957</v>
      </c>
      <c r="L509" s="304">
        <f t="shared" ca="1" si="203"/>
        <v>800.45538061401771</v>
      </c>
      <c r="M509" s="306">
        <f t="shared" ca="1" si="219"/>
        <v>-1.4596277492382146</v>
      </c>
      <c r="N509" s="304">
        <f t="shared" ca="1" si="220"/>
        <v>-83.630509691529355</v>
      </c>
      <c r="P509" s="310">
        <f t="shared" ca="1" si="221"/>
        <v>23</v>
      </c>
      <c r="Q509" s="304">
        <f t="shared" ca="1" si="222"/>
        <v>0</v>
      </c>
      <c r="R509" s="306">
        <f t="shared" ca="1" si="223"/>
        <v>0</v>
      </c>
      <c r="S509" s="307">
        <f t="shared" ca="1" si="224"/>
        <v>7.4799999999999969</v>
      </c>
      <c r="T509" s="304">
        <f t="shared" ca="1" si="204"/>
        <v>73.37879999999997</v>
      </c>
      <c r="U509" s="311">
        <f t="shared" ca="1" si="205"/>
        <v>0</v>
      </c>
      <c r="V509" s="306">
        <f t="shared" ca="1" si="206"/>
        <v>1.1943799688237842</v>
      </c>
      <c r="W509" s="304">
        <f t="shared" ca="1" si="207"/>
        <v>51.547923001430995</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2.8991397149102376</v>
      </c>
      <c r="AH509" s="304">
        <f t="shared" ca="1" si="231"/>
        <v>-6.8492761118414087</v>
      </c>
    </row>
    <row r="510" spans="1:34" x14ac:dyDescent="0.2">
      <c r="A510" s="347">
        <f t="shared" ca="1" si="209"/>
        <v>0.1</v>
      </c>
      <c r="B510" s="304">
        <f t="shared" ca="1" si="210"/>
        <v>32.600000000000193</v>
      </c>
      <c r="D510" s="306">
        <f t="shared" ca="1" si="211"/>
        <v>-0.76453384976606975</v>
      </c>
      <c r="E510" s="307">
        <f t="shared" ca="1" si="212"/>
        <v>-2.9611063335728991</v>
      </c>
      <c r="F510" s="304">
        <f t="shared" ca="1" si="213"/>
        <v>3.05821234157533</v>
      </c>
      <c r="G510" s="306">
        <f t="shared" ca="1" si="214"/>
        <v>12.863222568997189</v>
      </c>
      <c r="H510" s="307">
        <f t="shared" ca="1" si="215"/>
        <v>-116.21310333931366</v>
      </c>
      <c r="I510" s="304">
        <f t="shared" ca="1" si="216"/>
        <v>116.92282874876726</v>
      </c>
      <c r="J510" s="306">
        <f t="shared" ca="1" si="217"/>
        <v>760.66988033092605</v>
      </c>
      <c r="K510" s="307">
        <f t="shared" ca="1" si="218"/>
        <v>241.51645703743606</v>
      </c>
      <c r="L510" s="304">
        <f t="shared" ca="1" si="203"/>
        <v>798.09076292272744</v>
      </c>
      <c r="M510" s="306">
        <f t="shared" ca="1" si="219"/>
        <v>-1.4605585503676275</v>
      </c>
      <c r="N510" s="304">
        <f t="shared" ca="1" si="220"/>
        <v>-83.683840667810728</v>
      </c>
      <c r="P510" s="310">
        <f t="shared" ca="1" si="221"/>
        <v>23</v>
      </c>
      <c r="Q510" s="304">
        <f t="shared" ca="1" si="222"/>
        <v>0</v>
      </c>
      <c r="R510" s="306">
        <f t="shared" ca="1" si="223"/>
        <v>0</v>
      </c>
      <c r="S510" s="307">
        <f t="shared" ca="1" si="224"/>
        <v>7.4799999999999969</v>
      </c>
      <c r="T510" s="304">
        <f t="shared" ca="1" si="204"/>
        <v>73.37879999999997</v>
      </c>
      <c r="U510" s="311">
        <f t="shared" ca="1" si="205"/>
        <v>0</v>
      </c>
      <c r="V510" s="306">
        <f t="shared" ca="1" si="206"/>
        <v>1.1957672436006646</v>
      </c>
      <c r="W510" s="304">
        <f t="shared" ca="1" si="207"/>
        <v>51.861064828481844</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2.858010636707613</v>
      </c>
      <c r="AH510" s="304">
        <f t="shared" ca="1" si="231"/>
        <v>-6.8914335563410454</v>
      </c>
    </row>
    <row r="511" spans="1:34" x14ac:dyDescent="0.2">
      <c r="A511" s="347">
        <f t="shared" ca="1" si="209"/>
        <v>0.1</v>
      </c>
      <c r="B511" s="304">
        <f t="shared" ca="1" si="210"/>
        <v>32.700000000000195</v>
      </c>
      <c r="D511" s="306">
        <f t="shared" ca="1" si="211"/>
        <v>-0.76276420116675292</v>
      </c>
      <c r="E511" s="307">
        <f t="shared" ca="1" si="212"/>
        <v>-2.9187879061217687</v>
      </c>
      <c r="F511" s="304">
        <f t="shared" ca="1" si="213"/>
        <v>3.01680825832605</v>
      </c>
      <c r="G511" s="306">
        <f t="shared" ca="1" si="214"/>
        <v>12.786946148880514</v>
      </c>
      <c r="H511" s="307">
        <f t="shared" ca="1" si="215"/>
        <v>-116.50498212992584</v>
      </c>
      <c r="I511" s="304">
        <f t="shared" ca="1" si="216"/>
        <v>117.20459399233765</v>
      </c>
      <c r="J511" s="306">
        <f t="shared" ca="1" si="217"/>
        <v>761.95238876681992</v>
      </c>
      <c r="K511" s="307">
        <f t="shared" ca="1" si="218"/>
        <v>229.88055276397409</v>
      </c>
      <c r="L511" s="304">
        <f t="shared" ca="1" si="203"/>
        <v>795.87468315466185</v>
      </c>
      <c r="M511" s="306">
        <f t="shared" ca="1" si="219"/>
        <v>-1.4614793707086464</v>
      </c>
      <c r="N511" s="304">
        <f t="shared" ca="1" si="220"/>
        <v>-83.736599787040916</v>
      </c>
      <c r="P511" s="310">
        <f t="shared" ca="1" si="221"/>
        <v>23</v>
      </c>
      <c r="Q511" s="304">
        <f t="shared" ca="1" si="222"/>
        <v>0</v>
      </c>
      <c r="R511" s="306">
        <f t="shared" ca="1" si="223"/>
        <v>0</v>
      </c>
      <c r="S511" s="307">
        <f t="shared" ca="1" si="224"/>
        <v>7.4799999999999969</v>
      </c>
      <c r="T511" s="304">
        <f t="shared" ca="1" si="204"/>
        <v>73.37879999999997</v>
      </c>
      <c r="U511" s="311">
        <f t="shared" ca="1" si="205"/>
        <v>0</v>
      </c>
      <c r="V511" s="306">
        <f t="shared" ca="1" si="206"/>
        <v>1.197159630265598</v>
      </c>
      <c r="W511" s="304">
        <f t="shared" ca="1" si="207"/>
        <v>52.171999639341827</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2.8171555409436637</v>
      </c>
      <c r="AH511" s="304">
        <f t="shared" ca="1" si="231"/>
        <v>-6.9332974369628166</v>
      </c>
    </row>
    <row r="512" spans="1:34" x14ac:dyDescent="0.2">
      <c r="A512" s="347">
        <f t="shared" ca="1" si="209"/>
        <v>0.1</v>
      </c>
      <c r="B512" s="304">
        <f t="shared" ca="1" si="210"/>
        <v>32.800000000000196</v>
      </c>
      <c r="D512" s="306">
        <f t="shared" ca="1" si="211"/>
        <v>-0.76095344260100761</v>
      </c>
      <c r="E512" s="307">
        <f t="shared" ca="1" si="212"/>
        <v>-2.8767677645848542</v>
      </c>
      <c r="F512" s="304">
        <f t="shared" ca="1" si="213"/>
        <v>2.9757088085296357</v>
      </c>
      <c r="G512" s="306">
        <f t="shared" ca="1" si="214"/>
        <v>12.710850804620414</v>
      </c>
      <c r="H512" s="307">
        <f t="shared" ca="1" si="215"/>
        <v>-116.79265890638432</v>
      </c>
      <c r="I512" s="304">
        <f t="shared" ca="1" si="216"/>
        <v>117.48230038010131</v>
      </c>
      <c r="J512" s="306">
        <f t="shared" ca="1" si="217"/>
        <v>763.22727861449494</v>
      </c>
      <c r="K512" s="307">
        <f t="shared" ca="1" si="218"/>
        <v>218.21567071215858</v>
      </c>
      <c r="L512" s="304">
        <f t="shared" ca="1" si="203"/>
        <v>793.80977429460086</v>
      </c>
      <c r="M512" s="306">
        <f t="shared" ca="1" si="219"/>
        <v>-1.462390371652986</v>
      </c>
      <c r="N512" s="304">
        <f t="shared" ca="1" si="220"/>
        <v>-83.788796296284005</v>
      </c>
      <c r="P512" s="310">
        <f t="shared" ca="1" si="221"/>
        <v>23</v>
      </c>
      <c r="Q512" s="304">
        <f t="shared" ca="1" si="222"/>
        <v>0</v>
      </c>
      <c r="R512" s="306">
        <f t="shared" ca="1" si="223"/>
        <v>0</v>
      </c>
      <c r="S512" s="307">
        <f t="shared" ca="1" si="224"/>
        <v>7.4799999999999969</v>
      </c>
      <c r="T512" s="304">
        <f t="shared" ca="1" si="204"/>
        <v>73.37879999999997</v>
      </c>
      <c r="U512" s="311">
        <f t="shared" ca="1" si="205"/>
        <v>0</v>
      </c>
      <c r="V512" s="306">
        <f t="shared" ca="1" si="206"/>
        <v>1.1985570931702325</v>
      </c>
      <c r="W512" s="304">
        <f t="shared" ca="1" si="207"/>
        <v>52.480716956709379</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2.7765763715186456</v>
      </c>
      <c r="AH512" s="304">
        <f t="shared" ca="1" si="231"/>
        <v>-6.9748662619440971</v>
      </c>
    </row>
    <row r="513" spans="1:34" x14ac:dyDescent="0.2">
      <c r="A513" s="347">
        <f t="shared" ca="1" si="209"/>
        <v>0.1</v>
      </c>
      <c r="B513" s="304">
        <f t="shared" ca="1" si="210"/>
        <v>32.900000000000198</v>
      </c>
      <c r="D513" s="306">
        <f t="shared" ca="1" si="211"/>
        <v>-0.7591023589872774</v>
      </c>
      <c r="E513" s="307">
        <f t="shared" ca="1" si="212"/>
        <v>-2.8350473197273551</v>
      </c>
      <c r="F513" s="304">
        <f t="shared" ca="1" si="213"/>
        <v>2.9349156199988631</v>
      </c>
      <c r="G513" s="306">
        <f t="shared" ca="1" si="214"/>
        <v>12.634940568721685</v>
      </c>
      <c r="H513" s="307">
        <f t="shared" ca="1" si="215"/>
        <v>-117.07616363835706</v>
      </c>
      <c r="I513" s="304">
        <f t="shared" ca="1" si="216"/>
        <v>117.75597571015447</v>
      </c>
      <c r="J513" s="306">
        <f t="shared" ca="1" si="217"/>
        <v>764.49456818316207</v>
      </c>
      <c r="K513" s="307">
        <f t="shared" ca="1" si="218"/>
        <v>206.52222958492152</v>
      </c>
      <c r="L513" s="304">
        <f t="shared" ca="1" si="203"/>
        <v>791.89858952664292</v>
      </c>
      <c r="M513" s="306">
        <f t="shared" ca="1" si="219"/>
        <v>-1.4632917109173671</v>
      </c>
      <c r="N513" s="304">
        <f t="shared" ca="1" si="220"/>
        <v>-83.840439232042456</v>
      </c>
      <c r="P513" s="310">
        <f t="shared" ca="1" si="221"/>
        <v>23</v>
      </c>
      <c r="Q513" s="304">
        <f t="shared" ca="1" si="222"/>
        <v>0</v>
      </c>
      <c r="R513" s="306">
        <f t="shared" ca="1" si="223"/>
        <v>0</v>
      </c>
      <c r="S513" s="307">
        <f t="shared" ca="1" si="224"/>
        <v>7.4799999999999969</v>
      </c>
      <c r="T513" s="304">
        <f t="shared" ca="1" si="204"/>
        <v>73.37879999999997</v>
      </c>
      <c r="U513" s="311">
        <f t="shared" ca="1" si="205"/>
        <v>0</v>
      </c>
      <c r="V513" s="306">
        <f t="shared" ca="1" si="206"/>
        <v>1.1999595968700525</v>
      </c>
      <c r="W513" s="304">
        <f t="shared" ca="1" si="207"/>
        <v>52.787206974301291</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2.7362749684487939</v>
      </c>
      <c r="AH513" s="304">
        <f t="shared" ca="1" si="231"/>
        <v>-7.0161386305761235</v>
      </c>
    </row>
    <row r="514" spans="1:34" x14ac:dyDescent="0.2">
      <c r="A514" s="347">
        <f t="shared" ca="1" si="209"/>
        <v>0.1</v>
      </c>
      <c r="B514" s="304">
        <f t="shared" ca="1" si="210"/>
        <v>33.000000000000199</v>
      </c>
      <c r="D514" s="306">
        <f t="shared" ca="1" si="211"/>
        <v>-0.75721173157908794</v>
      </c>
      <c r="E514" s="307">
        <f t="shared" ca="1" si="212"/>
        <v>-2.7936278917925961</v>
      </c>
      <c r="F514" s="304">
        <f t="shared" ca="1" si="213"/>
        <v>2.8944302382753233</v>
      </c>
      <c r="G514" s="306">
        <f t="shared" ca="1" si="214"/>
        <v>12.559219395563776</v>
      </c>
      <c r="H514" s="307">
        <f t="shared" ca="1" si="215"/>
        <v>-117.35552642753632</v>
      </c>
      <c r="I514" s="304">
        <f t="shared" ca="1" si="216"/>
        <v>118.02564795378198</v>
      </c>
      <c r="J514" s="306">
        <f t="shared" ca="1" si="217"/>
        <v>765.75427618137633</v>
      </c>
      <c r="K514" s="307">
        <f t="shared" ca="1" si="218"/>
        <v>194.80064508162684</v>
      </c>
      <c r="L514" s="304">
        <f t="shared" ca="1" si="203"/>
        <v>790.143596325555</v>
      </c>
      <c r="M514" s="306">
        <f t="shared" ca="1" si="219"/>
        <v>-1.464183542647207</v>
      </c>
      <c r="N514" s="304">
        <f t="shared" ca="1" si="220"/>
        <v>-83.891537426198141</v>
      </c>
      <c r="P514" s="310">
        <f t="shared" ca="1" si="221"/>
        <v>23</v>
      </c>
      <c r="Q514" s="304">
        <f t="shared" ca="1" si="222"/>
        <v>0</v>
      </c>
      <c r="R514" s="306">
        <f t="shared" ca="1" si="223"/>
        <v>0</v>
      </c>
      <c r="S514" s="307">
        <f t="shared" ca="1" si="224"/>
        <v>7.4799999999999969</v>
      </c>
      <c r="T514" s="304">
        <f t="shared" ca="1" si="204"/>
        <v>73.37879999999997</v>
      </c>
      <c r="U514" s="311">
        <f t="shared" ca="1" si="205"/>
        <v>0</v>
      </c>
      <c r="V514" s="306">
        <f t="shared" ca="1" si="206"/>
        <v>1.2013671061260898</v>
      </c>
      <c r="W514" s="304">
        <f t="shared" ca="1" si="207"/>
        <v>53.091460546719588</v>
      </c>
      <c r="Y514" s="314" t="str">
        <f t="shared" ca="1" si="225"/>
        <v/>
      </c>
      <c r="Z514" s="315" t="str">
        <f t="shared" ca="1" si="226"/>
        <v/>
      </c>
      <c r="AA514" s="316" t="str">
        <f t="shared" ca="1" si="227"/>
        <v/>
      </c>
      <c r="AC514" s="310">
        <f t="shared" ca="1" si="228"/>
        <v>33.000000000000199</v>
      </c>
      <c r="AD514" s="323">
        <f t="shared" ca="1" si="229"/>
        <v>765.75427618137633</v>
      </c>
      <c r="AE514" s="324" t="e">
        <f t="shared" ca="1" si="208"/>
        <v>#N/A</v>
      </c>
      <c r="AG514" s="306">
        <f t="shared" ca="1" si="230"/>
        <v>2.6962530696467137</v>
      </c>
      <c r="AH514" s="304">
        <f t="shared" ca="1" si="231"/>
        <v>-7.0571132318584642</v>
      </c>
    </row>
    <row r="515" spans="1:34" x14ac:dyDescent="0.2">
      <c r="A515" s="347">
        <f t="shared" ca="1" si="209"/>
        <v>0.1</v>
      </c>
      <c r="B515" s="304">
        <f t="shared" ca="1" si="210"/>
        <v>33.1000000000002</v>
      </c>
      <c r="D515" s="306">
        <f t="shared" ca="1" si="211"/>
        <v>-0.75528233777917664</v>
      </c>
      <c r="E515" s="307">
        <f t="shared" ca="1" si="212"/>
        <v>-2.7525107118676413</v>
      </c>
      <c r="F515" s="304">
        <f t="shared" ca="1" si="213"/>
        <v>2.8542541282631593</v>
      </c>
      <c r="G515" s="306">
        <f t="shared" ca="1" si="214"/>
        <v>12.483691161785858</v>
      </c>
      <c r="H515" s="307">
        <f t="shared" ca="1" si="215"/>
        <v>-117.63077749872308</v>
      </c>
      <c r="I515" s="304">
        <f t="shared" ca="1" si="216"/>
        <v>118.2913452454445</v>
      </c>
      <c r="J515" s="306">
        <f t="shared" ca="1" si="217"/>
        <v>767.0064217092438</v>
      </c>
      <c r="K515" s="307">
        <f t="shared" ca="1" si="218"/>
        <v>183.05132988531386</v>
      </c>
      <c r="L515" s="304">
        <f t="shared" ca="1" si="203"/>
        <v>788.54717063470616</v>
      </c>
      <c r="M515" s="306">
        <f t="shared" ca="1" si="219"/>
        <v>-1.465066017516869</v>
      </c>
      <c r="N515" s="304">
        <f t="shared" ca="1" si="220"/>
        <v>-83.942099511756126</v>
      </c>
      <c r="P515" s="310">
        <f t="shared" ca="1" si="221"/>
        <v>23</v>
      </c>
      <c r="Q515" s="304">
        <f t="shared" ca="1" si="222"/>
        <v>0</v>
      </c>
      <c r="R515" s="306">
        <f t="shared" ca="1" si="223"/>
        <v>0</v>
      </c>
      <c r="S515" s="307">
        <f t="shared" ca="1" si="224"/>
        <v>7.4799999999999969</v>
      </c>
      <c r="T515" s="304">
        <f t="shared" ca="1" si="204"/>
        <v>73.37879999999997</v>
      </c>
      <c r="U515" s="311">
        <f t="shared" ca="1" si="205"/>
        <v>0</v>
      </c>
      <c r="V515" s="306">
        <f t="shared" ca="1" si="206"/>
        <v>1.2027795859065693</v>
      </c>
      <c r="W515" s="304">
        <f t="shared" ca="1" si="207"/>
        <v>53.393469179257956</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2.656512312693895</v>
      </c>
      <c r="AH515" s="304">
        <f t="shared" ca="1" si="231"/>
        <v>-7.0977888431443326</v>
      </c>
    </row>
    <row r="516" spans="1:34" x14ac:dyDescent="0.2">
      <c r="A516" s="347">
        <f t="shared" ca="1" si="209"/>
        <v>0.1</v>
      </c>
      <c r="B516" s="304">
        <f t="shared" ca="1" si="210"/>
        <v>33.200000000000202</v>
      </c>
      <c r="D516" s="306">
        <f t="shared" ca="1" si="211"/>
        <v>-0.75331495095978096</v>
      </c>
      <c r="E516" s="307">
        <f t="shared" ca="1" si="212"/>
        <v>-2.7116969232571968</v>
      </c>
      <c r="F516" s="304">
        <f t="shared" ca="1" si="213"/>
        <v>2.8143886758836429</v>
      </c>
      <c r="G516" s="306">
        <f t="shared" ca="1" si="214"/>
        <v>12.408359666689879</v>
      </c>
      <c r="H516" s="307">
        <f t="shared" ca="1" si="215"/>
        <v>-117.90194719104879</v>
      </c>
      <c r="I516" s="304">
        <f t="shared" ca="1" si="216"/>
        <v>118.55309587294123</v>
      </c>
      <c r="J516" s="306">
        <f t="shared" ca="1" si="217"/>
        <v>768.25102425066757</v>
      </c>
      <c r="K516" s="307">
        <f t="shared" ca="1" si="218"/>
        <v>171.27469365082527</v>
      </c>
      <c r="L516" s="304">
        <f t="shared" ref="L516:L579" ca="1" si="232">SQRT(pos_x^2+pos_z^2)</f>
        <v>787.11159116568967</v>
      </c>
      <c r="M516" s="306">
        <f t="shared" ca="1" si="219"/>
        <v>-1.4659392828266027</v>
      </c>
      <c r="N516" s="304">
        <f t="shared" ca="1" si="220"/>
        <v>-83.992133928399056</v>
      </c>
      <c r="P516" s="310">
        <f t="shared" ca="1" si="221"/>
        <v>23</v>
      </c>
      <c r="Q516" s="304">
        <f t="shared" ca="1" si="222"/>
        <v>0</v>
      </c>
      <c r="R516" s="306">
        <f t="shared" ca="1" si="223"/>
        <v>0</v>
      </c>
      <c r="S516" s="307">
        <f t="shared" ca="1" si="224"/>
        <v>7.4799999999999969</v>
      </c>
      <c r="T516" s="304">
        <f t="shared" ref="T516:T579" ca="1" si="233">m*g</f>
        <v>73.37879999999997</v>
      </c>
      <c r="U516" s="311">
        <f t="shared" ref="U516:U579" ca="1" si="234">IF(pos_xz&lt;L_rampe,Poids*COS(Beta),0)</f>
        <v>0</v>
      </c>
      <c r="V516" s="306">
        <f t="shared" ref="V516:V579" ca="1" si="235">Rho_moyen*(20000-Alt_rampe-pos_z)/(20000+Alt_rampe+pos_z)</f>
        <v>1.2041970013884842</v>
      </c>
      <c r="W516" s="304">
        <f t="shared" ref="W516:W579" ca="1" si="236">1/2*Rho*Sref*Cx*vit_xz^2</f>
        <v>53.693225017654228</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2.6170542366050533</v>
      </c>
      <c r="AH516" s="304">
        <f t="shared" ca="1" si="231"/>
        <v>-7.1381643287778047</v>
      </c>
    </row>
    <row r="517" spans="1:34" x14ac:dyDescent="0.2">
      <c r="A517" s="347">
        <f t="shared" ref="A517:A580" ca="1" si="238">IF(B516+0.01&lt;=T_ini+ROUNDUP(Temps_fin_propu,0), 0.01, IF(K516&gt;0, 0.1, 0.0001))</f>
        <v>0.1</v>
      </c>
      <c r="B517" s="304">
        <f t="shared" ref="B517:B580" ca="1" si="239">B516+pas</f>
        <v>33.300000000000203</v>
      </c>
      <c r="D517" s="306">
        <f t="shared" ref="D517:D580" ca="1" si="240">IF(AND(L516&lt;L_rampe,Poussee&lt;Poids*SIN(M516)),0,(-W516+Poussee)/m*COS(M516)-U516/m*SIN(M516))</f>
        <v>-0.751310340289014</v>
      </c>
      <c r="E517" s="307">
        <f t="shared" ref="E517:E580" ca="1" si="241">IF(AND(L516&lt;L_rampe,Poussee&lt;Poids*SIN(M516)),0,(-W516+Poussee)/m*SIN(M516)+U516/m*COS(M516)-Poids/m)</f>
        <v>-2.6711875828648814</v>
      </c>
      <c r="F517" s="304">
        <f t="shared" ref="F517:F580" ca="1" si="242">SQRT(acc_x^2+acc_z^2)</f>
        <v>2.7748351897503252</v>
      </c>
      <c r="G517" s="306">
        <f t="shared" ref="G517:G580" ca="1" si="243">G516+acc_x*pas</f>
        <v>12.333228632660978</v>
      </c>
      <c r="H517" s="307">
        <f t="shared" ref="H517:H580" ca="1" si="244">H516+acc_z*pas</f>
        <v>-118.16906594933528</v>
      </c>
      <c r="I517" s="304">
        <f t="shared" ref="I517:I580" ca="1" si="245">SQRT(vit_x^2+vit_z^2)</f>
        <v>118.81092826774749</v>
      </c>
      <c r="J517" s="306">
        <f t="shared" ref="J517:J580" ca="1" si="246">J516+0.5*(vit_x+G516)*pas*(K516&gt;=0)</f>
        <v>769.48810366563509</v>
      </c>
      <c r="K517" s="307">
        <f t="shared" ref="K517:K580" ca="1" si="247">K516+0.5*(vit_z+H516)*pas</f>
        <v>159.47114299380607</v>
      </c>
      <c r="L517" s="304">
        <f t="shared" ca="1" si="232"/>
        <v>785.83903385533495</v>
      </c>
      <c r="M517" s="306">
        <f t="shared" ref="M517:M580" ca="1" si="248">IF(AND(L516&gt;L_rampe,G517&gt;0),ATAN2(G517,H517),$M$4)</f>
        <v>-1.4668034825963012</v>
      </c>
      <c r="N517" s="304">
        <f t="shared" ref="N517:N580" ca="1" si="249">DEGREES(Beta)</f>
        <v>-84.041648927858958</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7.4799999999999969</v>
      </c>
      <c r="T517" s="304">
        <f t="shared" ca="1" si="233"/>
        <v>73.37879999999997</v>
      </c>
      <c r="U517" s="311">
        <f t="shared" ca="1" si="234"/>
        <v>0</v>
      </c>
      <c r="V517" s="306">
        <f t="shared" ca="1" si="235"/>
        <v>1.2056193179591117</v>
      </c>
      <c r="W517" s="304">
        <f t="shared" ca="1" si="236"/>
        <v>53.990720837796978</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2.577880283584105</v>
      </c>
      <c r="AH517" s="304">
        <f t="shared" ref="AH517:AH580" ca="1" si="260">IF(AND(L516&lt;L_rampe,Poussee&lt;Poids*SIN(M516)), g*SIN(M516), (-W516+Poussee)/m)</f>
        <v>-7.1782386387238306</v>
      </c>
    </row>
    <row r="518" spans="1:34" x14ac:dyDescent="0.2">
      <c r="A518" s="347">
        <f t="shared" ca="1" si="238"/>
        <v>0.1</v>
      </c>
      <c r="B518" s="304">
        <f t="shared" ca="1" si="239"/>
        <v>33.400000000000205</v>
      </c>
      <c r="D518" s="306">
        <f t="shared" ca="1" si="240"/>
        <v>-0.74926927056325332</v>
      </c>
      <c r="E518" s="307">
        <f t="shared" ca="1" si="241"/>
        <v>-2.6309836625808032</v>
      </c>
      <c r="F518" s="304">
        <f t="shared" ca="1" si="242"/>
        <v>2.7355949028643636</v>
      </c>
      <c r="G518" s="306">
        <f t="shared" ca="1" si="243"/>
        <v>12.258301705604653</v>
      </c>
      <c r="H518" s="307">
        <f t="shared" ca="1" si="244"/>
        <v>-118.43216431559335</v>
      </c>
      <c r="I518" s="304">
        <f t="shared" ca="1" si="245"/>
        <v>119.06487099552636</v>
      </c>
      <c r="J518" s="306">
        <f t="shared" ca="1" si="246"/>
        <v>770.71768018254841</v>
      </c>
      <c r="K518" s="307">
        <f t="shared" ca="1" si="247"/>
        <v>147.64108148055965</v>
      </c>
      <c r="L518" s="304">
        <f t="shared" ca="1" si="232"/>
        <v>784.73156651604006</v>
      </c>
      <c r="M518" s="306">
        <f t="shared" ca="1" si="248"/>
        <v>-1.4676587576561968</v>
      </c>
      <c r="N518" s="304">
        <f t="shared" ca="1" si="249"/>
        <v>-84.09065257911378</v>
      </c>
      <c r="P518" s="310">
        <f t="shared" ca="1" si="250"/>
        <v>23</v>
      </c>
      <c r="Q518" s="304">
        <f t="shared" ca="1" si="251"/>
        <v>0</v>
      </c>
      <c r="R518" s="306">
        <f t="shared" ca="1" si="252"/>
        <v>0</v>
      </c>
      <c r="S518" s="307">
        <f t="shared" ca="1" si="253"/>
        <v>7.4799999999999969</v>
      </c>
      <c r="T518" s="304">
        <f t="shared" ca="1" si="233"/>
        <v>73.37879999999997</v>
      </c>
      <c r="U518" s="311">
        <f t="shared" ca="1" si="234"/>
        <v>0</v>
      </c>
      <c r="V518" s="306">
        <f t="shared" ca="1" si="235"/>
        <v>1.207046501217462</v>
      </c>
      <c r="W518" s="304">
        <f t="shared" ca="1" si="236"/>
        <v>54.285950035392567</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2.5389918007714085</v>
      </c>
      <c r="AH518" s="304">
        <f t="shared" ca="1" si="260"/>
        <v>-7.2180108071921127</v>
      </c>
    </row>
    <row r="519" spans="1:34" x14ac:dyDescent="0.2">
      <c r="A519" s="347">
        <f t="shared" ca="1" si="238"/>
        <v>0.1</v>
      </c>
      <c r="B519" s="304">
        <f t="shared" ca="1" si="239"/>
        <v>33.500000000000206</v>
      </c>
      <c r="D519" s="306">
        <f t="shared" ca="1" si="240"/>
        <v>-0.74719250204547716</v>
      </c>
      <c r="E519" s="307">
        <f t="shared" ca="1" si="241"/>
        <v>-2.5910860506745639</v>
      </c>
      <c r="F519" s="304">
        <f t="shared" ca="1" si="242"/>
        <v>2.6966689743298655</v>
      </c>
      <c r="G519" s="306">
        <f t="shared" ca="1" si="243"/>
        <v>12.183582455400106</v>
      </c>
      <c r="H519" s="307">
        <f t="shared" ca="1" si="244"/>
        <v>-118.69127292066081</v>
      </c>
      <c r="I519" s="304">
        <f t="shared" ca="1" si="245"/>
        <v>119.31495274681343</v>
      </c>
      <c r="J519" s="306">
        <f t="shared" ca="1" si="246"/>
        <v>771.9397743905987</v>
      </c>
      <c r="K519" s="307">
        <f t="shared" ca="1" si="247"/>
        <v>135.78490961874695</v>
      </c>
      <c r="L519" s="304">
        <f t="shared" ca="1" si="232"/>
        <v>783.79114371519893</v>
      </c>
      <c r="M519" s="306">
        <f t="shared" ca="1" si="248"/>
        <v>-1.4685052457346066</v>
      </c>
      <c r="N519" s="304">
        <f t="shared" ca="1" si="249"/>
        <v>-84.139152773414793</v>
      </c>
      <c r="P519" s="310">
        <f t="shared" ca="1" si="250"/>
        <v>23</v>
      </c>
      <c r="Q519" s="304">
        <f t="shared" ca="1" si="251"/>
        <v>0</v>
      </c>
      <c r="R519" s="306">
        <f t="shared" ca="1" si="252"/>
        <v>0</v>
      </c>
      <c r="S519" s="307">
        <f t="shared" ca="1" si="253"/>
        <v>7.4799999999999969</v>
      </c>
      <c r="T519" s="304">
        <f t="shared" ca="1" si="233"/>
        <v>73.37879999999997</v>
      </c>
      <c r="U519" s="311">
        <f t="shared" ca="1" si="234"/>
        <v>0</v>
      </c>
      <c r="V519" s="306">
        <f t="shared" ca="1" si="235"/>
        <v>1.2084785169756651</v>
      </c>
      <c r="W519" s="304">
        <f t="shared" ca="1" si="236"/>
        <v>54.578906615600012</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2.5003900419820608</v>
      </c>
      <c r="AH519" s="304">
        <f t="shared" ca="1" si="260"/>
        <v>-7.2574799512556938</v>
      </c>
    </row>
    <row r="520" spans="1:34" x14ac:dyDescent="0.2">
      <c r="A520" s="347">
        <f t="shared" ca="1" si="238"/>
        <v>0.1</v>
      </c>
      <c r="B520" s="304">
        <f t="shared" ca="1" si="239"/>
        <v>33.600000000000207</v>
      </c>
      <c r="D520" s="306">
        <f t="shared" ca="1" si="240"/>
        <v>-0.74508079030948748</v>
      </c>
      <c r="E520" s="307">
        <f t="shared" ca="1" si="241"/>
        <v>-2.5514955531927015</v>
      </c>
      <c r="F520" s="304">
        <f t="shared" ca="1" si="242"/>
        <v>2.6580584910890015</v>
      </c>
      <c r="G520" s="306">
        <f t="shared" ca="1" si="243"/>
        <v>12.109074376369158</v>
      </c>
      <c r="H520" s="307">
        <f t="shared" ca="1" si="244"/>
        <v>-118.94642247598007</v>
      </c>
      <c r="I520" s="304">
        <f t="shared" ca="1" si="245"/>
        <v>119.56120232787381</v>
      </c>
      <c r="J520" s="306">
        <f t="shared" ca="1" si="246"/>
        <v>773.15440723218717</v>
      </c>
      <c r="K520" s="307">
        <f t="shared" ca="1" si="247"/>
        <v>123.90302484891491</v>
      </c>
      <c r="L520" s="304">
        <f t="shared" ca="1" si="232"/>
        <v>783.01960191892113</v>
      </c>
      <c r="M520" s="306">
        <f t="shared" ca="1" si="248"/>
        <v>-1.4693430815428421</v>
      </c>
      <c r="N520" s="304">
        <f t="shared" ca="1" si="249"/>
        <v>-84.187157229151623</v>
      </c>
      <c r="P520" s="310">
        <f t="shared" ca="1" si="250"/>
        <v>23</v>
      </c>
      <c r="Q520" s="304">
        <f t="shared" ca="1" si="251"/>
        <v>0</v>
      </c>
      <c r="R520" s="306">
        <f t="shared" ca="1" si="252"/>
        <v>0</v>
      </c>
      <c r="S520" s="307">
        <f t="shared" ca="1" si="253"/>
        <v>7.4799999999999969</v>
      </c>
      <c r="T520" s="304">
        <f t="shared" ca="1" si="233"/>
        <v>73.37879999999997</v>
      </c>
      <c r="U520" s="311">
        <f t="shared" ca="1" si="234"/>
        <v>0</v>
      </c>
      <c r="V520" s="306">
        <f t="shared" ca="1" si="235"/>
        <v>1.2099153312602928</v>
      </c>
      <c r="W520" s="304">
        <f t="shared" ca="1" si="236"/>
        <v>54.869585182639902</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2.4620761694348703</v>
      </c>
      <c r="AH520" s="304">
        <f t="shared" ca="1" si="260"/>
        <v>-7.2966452694652455</v>
      </c>
    </row>
    <row r="521" spans="1:34" x14ac:dyDescent="0.2">
      <c r="A521" s="347">
        <f t="shared" ca="1" si="238"/>
        <v>0.1</v>
      </c>
      <c r="B521" s="304">
        <f t="shared" ca="1" si="239"/>
        <v>33.700000000000209</v>
      </c>
      <c r="D521" s="306">
        <f t="shared" ca="1" si="240"/>
        <v>-0.74293488608993008</v>
      </c>
      <c r="E521" s="307">
        <f t="shared" ca="1" si="241"/>
        <v>-2.5122128953597196</v>
      </c>
      <c r="F521" s="304">
        <f t="shared" ca="1" si="242"/>
        <v>2.6197644696768303</v>
      </c>
      <c r="G521" s="306">
        <f t="shared" ca="1" si="243"/>
        <v>12.034780887760165</v>
      </c>
      <c r="H521" s="307">
        <f t="shared" ca="1" si="244"/>
        <v>-119.19764376551605</v>
      </c>
      <c r="I521" s="304">
        <f t="shared" ca="1" si="245"/>
        <v>119.8036486517304</v>
      </c>
      <c r="J521" s="306">
        <f t="shared" ca="1" si="246"/>
        <v>774.36159999539359</v>
      </c>
      <c r="K521" s="307">
        <f t="shared" ca="1" si="247"/>
        <v>111.99582153684011</v>
      </c>
      <c r="L521" s="304">
        <f t="shared" ca="1" si="232"/>
        <v>782.41865493426064</v>
      </c>
      <c r="M521" s="306">
        <f t="shared" ca="1" si="248"/>
        <v>-1.4701723968573879</v>
      </c>
      <c r="N521" s="304">
        <f t="shared" ca="1" si="249"/>
        <v>-84.23467349656066</v>
      </c>
      <c r="P521" s="310">
        <f t="shared" ca="1" si="250"/>
        <v>23</v>
      </c>
      <c r="Q521" s="304">
        <f t="shared" ca="1" si="251"/>
        <v>0</v>
      </c>
      <c r="R521" s="306">
        <f t="shared" ca="1" si="252"/>
        <v>0</v>
      </c>
      <c r="S521" s="307">
        <f t="shared" ca="1" si="253"/>
        <v>7.4799999999999969</v>
      </c>
      <c r="T521" s="304">
        <f t="shared" ca="1" si="233"/>
        <v>73.37879999999997</v>
      </c>
      <c r="U521" s="311">
        <f t="shared" ca="1" si="234"/>
        <v>0</v>
      </c>
      <c r="V521" s="306">
        <f t="shared" ca="1" si="235"/>
        <v>1.2113569103136235</v>
      </c>
      <c r="W521" s="304">
        <f t="shared" ca="1" si="236"/>
        <v>55.157980929384308</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2.424051255471797</v>
      </c>
      <c r="AH521" s="304">
        <f t="shared" ca="1" si="260"/>
        <v>-7.3355060404598831</v>
      </c>
    </row>
    <row r="522" spans="1:34" x14ac:dyDescent="0.2">
      <c r="A522" s="347">
        <f t="shared" ca="1" si="238"/>
        <v>0.1</v>
      </c>
      <c r="B522" s="304">
        <f t="shared" ca="1" si="239"/>
        <v>33.80000000000021</v>
      </c>
      <c r="D522" s="306">
        <f t="shared" ca="1" si="240"/>
        <v>-0.74075553513803605</v>
      </c>
      <c r="E522" s="307">
        <f t="shared" ca="1" si="241"/>
        <v>-2.4732387229817645</v>
      </c>
      <c r="F522" s="304">
        <f t="shared" ca="1" si="242"/>
        <v>2.5817878579957161</v>
      </c>
      <c r="G522" s="306">
        <f t="shared" ca="1" si="243"/>
        <v>11.960705334246361</v>
      </c>
      <c r="H522" s="307">
        <f t="shared" ca="1" si="244"/>
        <v>-119.44496763781423</v>
      </c>
      <c r="I522" s="304">
        <f t="shared" ca="1" si="245"/>
        <v>120.0423207293626</v>
      </c>
      <c r="J522" s="306">
        <f t="shared" ca="1" si="246"/>
        <v>775.56137430649392</v>
      </c>
      <c r="K522" s="307">
        <f t="shared" ca="1" si="247"/>
        <v>100.06369096667359</v>
      </c>
      <c r="L522" s="304">
        <f t="shared" ca="1" si="232"/>
        <v>781.98988968275762</v>
      </c>
      <c r="M522" s="306">
        <f t="shared" ca="1" si="248"/>
        <v>-1.470993320599447</v>
      </c>
      <c r="N522" s="304">
        <f t="shared" ca="1" si="249"/>
        <v>-84.281708962282735</v>
      </c>
      <c r="P522" s="310">
        <f t="shared" ca="1" si="250"/>
        <v>23</v>
      </c>
      <c r="Q522" s="304">
        <f t="shared" ca="1" si="251"/>
        <v>0</v>
      </c>
      <c r="R522" s="306">
        <f t="shared" ca="1" si="252"/>
        <v>0</v>
      </c>
      <c r="S522" s="307">
        <f t="shared" ca="1" si="253"/>
        <v>7.4799999999999969</v>
      </c>
      <c r="T522" s="304">
        <f t="shared" ca="1" si="233"/>
        <v>73.37879999999997</v>
      </c>
      <c r="U522" s="311">
        <f t="shared" ca="1" si="234"/>
        <v>0</v>
      </c>
      <c r="V522" s="306">
        <f t="shared" ca="1" si="235"/>
        <v>1.212803220594842</v>
      </c>
      <c r="W522" s="304">
        <f t="shared" ca="1" si="236"/>
        <v>55.44408962693376</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2.3863162842674326</v>
      </c>
      <c r="AH522" s="304">
        <f t="shared" ca="1" si="260"/>
        <v>-7.3740616215754455</v>
      </c>
    </row>
    <row r="523" spans="1:34" x14ac:dyDescent="0.2">
      <c r="A523" s="347">
        <f t="shared" ca="1" si="238"/>
        <v>0.1</v>
      </c>
      <c r="B523" s="304">
        <f t="shared" ca="1" si="239"/>
        <v>33.900000000000212</v>
      </c>
      <c r="D523" s="306">
        <f t="shared" ca="1" si="240"/>
        <v>-0.73854347808303777</v>
      </c>
      <c r="E523" s="307">
        <f t="shared" ca="1" si="241"/>
        <v>-2.4345736038521304</v>
      </c>
      <c r="F523" s="304">
        <f t="shared" ca="1" si="242"/>
        <v>2.5441295371094101</v>
      </c>
      <c r="G523" s="306">
        <f t="shared" ca="1" si="243"/>
        <v>11.886850986438057</v>
      </c>
      <c r="H523" s="307">
        <f t="shared" ca="1" si="244"/>
        <v>-119.68842499819944</v>
      </c>
      <c r="I523" s="304">
        <f t="shared" ca="1" si="245"/>
        <v>120.27724766107427</v>
      </c>
      <c r="J523" s="306">
        <f t="shared" ca="1" si="246"/>
        <v>776.75375212252811</v>
      </c>
      <c r="K523" s="307">
        <f t="shared" ca="1" si="247"/>
        <v>88.107021334872911</v>
      </c>
      <c r="L523" s="304">
        <f t="shared" ca="1" si="232"/>
        <v>781.73476233626047</v>
      </c>
      <c r="M523" s="306">
        <f t="shared" ca="1" si="248"/>
        <v>-1.4718059789119562</v>
      </c>
      <c r="N523" s="304">
        <f t="shared" ca="1" si="249"/>
        <v>-84.328270853775734</v>
      </c>
      <c r="P523" s="310">
        <f t="shared" ca="1" si="250"/>
        <v>23</v>
      </c>
      <c r="Q523" s="304">
        <f t="shared" ca="1" si="251"/>
        <v>0</v>
      </c>
      <c r="R523" s="306">
        <f t="shared" ca="1" si="252"/>
        <v>0</v>
      </c>
      <c r="S523" s="307">
        <f t="shared" ca="1" si="253"/>
        <v>7.4799999999999969</v>
      </c>
      <c r="T523" s="304">
        <f t="shared" ca="1" si="233"/>
        <v>73.37879999999997</v>
      </c>
      <c r="U523" s="311">
        <f t="shared" ca="1" si="234"/>
        <v>0</v>
      </c>
      <c r="V523" s="306">
        <f t="shared" ca="1" si="235"/>
        <v>1.2142542287811799</v>
      </c>
      <c r="W523" s="304">
        <f t="shared" ca="1" si="236"/>
        <v>55.727907614187274</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2.3488721535283084</v>
      </c>
      <c r="AH523" s="304">
        <f t="shared" ca="1" si="260"/>
        <v>-7.4123114474510405</v>
      </c>
    </row>
    <row r="524" spans="1:34" x14ac:dyDescent="0.2">
      <c r="A524" s="347">
        <f t="shared" ca="1" si="238"/>
        <v>0.1</v>
      </c>
      <c r="B524" s="304">
        <f t="shared" ca="1" si="239"/>
        <v>34.000000000000213</v>
      </c>
      <c r="D524" s="306">
        <f t="shared" ca="1" si="240"/>
        <v>-0.73629945029912813</v>
      </c>
      <c r="E524" s="307">
        <f t="shared" ca="1" si="241"/>
        <v>-2.3962180291577688</v>
      </c>
      <c r="F524" s="304">
        <f t="shared" ca="1" si="242"/>
        <v>2.5067903230568644</v>
      </c>
      <c r="G524" s="306">
        <f t="shared" ca="1" si="243"/>
        <v>11.813221041408145</v>
      </c>
      <c r="H524" s="307">
        <f t="shared" ca="1" si="244"/>
        <v>-119.92804680111522</v>
      </c>
      <c r="I524" s="304">
        <f t="shared" ca="1" si="245"/>
        <v>120.50845862803013</v>
      </c>
      <c r="J524" s="306">
        <f t="shared" ca="1" si="246"/>
        <v>777.93875572392039</v>
      </c>
      <c r="K524" s="307">
        <f t="shared" ca="1" si="247"/>
        <v>76.126197744907174</v>
      </c>
      <c r="L524" s="304">
        <f t="shared" ca="1" si="232"/>
        <v>781.65459484377004</v>
      </c>
      <c r="M524" s="306">
        <f t="shared" ca="1" si="248"/>
        <v>-1.4726104952341577</v>
      </c>
      <c r="N524" s="304">
        <f t="shared" ca="1" si="249"/>
        <v>-84.374366243587261</v>
      </c>
      <c r="P524" s="310">
        <f t="shared" ca="1" si="250"/>
        <v>23</v>
      </c>
      <c r="Q524" s="304">
        <f t="shared" ca="1" si="251"/>
        <v>0</v>
      </c>
      <c r="R524" s="306">
        <f t="shared" ca="1" si="252"/>
        <v>0</v>
      </c>
      <c r="S524" s="307">
        <f t="shared" ca="1" si="253"/>
        <v>7.4799999999999969</v>
      </c>
      <c r="T524" s="304">
        <f t="shared" ca="1" si="233"/>
        <v>73.37879999999997</v>
      </c>
      <c r="U524" s="311">
        <f t="shared" ca="1" si="234"/>
        <v>0</v>
      </c>
      <c r="V524" s="306">
        <f t="shared" ca="1" si="235"/>
        <v>1.2157099017689992</v>
      </c>
      <c r="W524" s="304">
        <f t="shared" ca="1" si="236"/>
        <v>56.009431787412083</v>
      </c>
      <c r="Y524" s="314" t="str">
        <f t="shared" ca="1" si="254"/>
        <v/>
      </c>
      <c r="Z524" s="315" t="str">
        <f t="shared" ca="1" si="255"/>
        <v/>
      </c>
      <c r="AA524" s="316" t="str">
        <f t="shared" ca="1" si="256"/>
        <v/>
      </c>
      <c r="AC524" s="310">
        <f t="shared" ca="1" si="257"/>
        <v>34.000000000000213</v>
      </c>
      <c r="AD524" s="323">
        <f t="shared" ca="1" si="258"/>
        <v>777.93875572392039</v>
      </c>
      <c r="AE524" s="324" t="e">
        <f t="shared" ca="1" si="237"/>
        <v>#N/A</v>
      </c>
      <c r="AG524" s="306">
        <f t="shared" ca="1" si="259"/>
        <v>2.3117196761816681</v>
      </c>
      <c r="AH524" s="304">
        <f t="shared" ca="1" si="260"/>
        <v>-7.4502550286346656</v>
      </c>
    </row>
    <row r="525" spans="1:34" x14ac:dyDescent="0.2">
      <c r="A525" s="347">
        <f t="shared" ca="1" si="238"/>
        <v>0.1</v>
      </c>
      <c r="B525" s="304">
        <f t="shared" ca="1" si="239"/>
        <v>34.100000000000215</v>
      </c>
      <c r="D525" s="306">
        <f t="shared" ca="1" si="240"/>
        <v>-0.73402418177794215</v>
      </c>
      <c r="E525" s="307">
        <f t="shared" ca="1" si="241"/>
        <v>-2.3581724148859156</v>
      </c>
      <c r="F525" s="304">
        <f t="shared" ca="1" si="242"/>
        <v>2.469770968685892</v>
      </c>
      <c r="G525" s="306">
        <f t="shared" ca="1" si="243"/>
        <v>11.739818623230351</v>
      </c>
      <c r="H525" s="307">
        <f t="shared" ca="1" si="244"/>
        <v>-120.16386404260381</v>
      </c>
      <c r="I525" s="304">
        <f t="shared" ca="1" si="245"/>
        <v>120.73598288395932</v>
      </c>
      <c r="J525" s="306">
        <f t="shared" ca="1" si="246"/>
        <v>779.11640770715235</v>
      </c>
      <c r="K525" s="307">
        <f t="shared" ca="1" si="247"/>
        <v>64.12160220272122</v>
      </c>
      <c r="L525" s="304">
        <f t="shared" ca="1" si="232"/>
        <v>781.75057187541711</v>
      </c>
      <c r="M525" s="306">
        <f t="shared" ca="1" si="248"/>
        <v>-1.4734069903738203</v>
      </c>
      <c r="N525" s="304">
        <f t="shared" ca="1" si="249"/>
        <v>-84.42000205349261</v>
      </c>
      <c r="P525" s="310">
        <f t="shared" ca="1" si="250"/>
        <v>23</v>
      </c>
      <c r="Q525" s="304">
        <f t="shared" ca="1" si="251"/>
        <v>0</v>
      </c>
      <c r="R525" s="306">
        <f t="shared" ca="1" si="252"/>
        <v>0</v>
      </c>
      <c r="S525" s="307">
        <f t="shared" ca="1" si="253"/>
        <v>7.4799999999999969</v>
      </c>
      <c r="T525" s="304">
        <f t="shared" ca="1" si="233"/>
        <v>73.37879999999997</v>
      </c>
      <c r="U525" s="311">
        <f t="shared" ca="1" si="234"/>
        <v>0</v>
      </c>
      <c r="V525" s="306">
        <f t="shared" ca="1" si="235"/>
        <v>1.2171702066748129</v>
      </c>
      <c r="W525" s="304">
        <f t="shared" ca="1" si="236"/>
        <v>56.288659589818053</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2.2748595820533595</v>
      </c>
      <c r="AH525" s="304">
        <f t="shared" ca="1" si="260"/>
        <v>-7.487891950188784</v>
      </c>
    </row>
    <row r="526" spans="1:34" x14ac:dyDescent="0.2">
      <c r="A526" s="347">
        <f t="shared" ca="1" si="238"/>
        <v>0.1</v>
      </c>
      <c r="B526" s="304">
        <f t="shared" ca="1" si="239"/>
        <v>34.200000000000216</v>
      </c>
      <c r="D526" s="306">
        <f t="shared" ca="1" si="240"/>
        <v>-0.73171839700643926</v>
      </c>
      <c r="E526" s="307">
        <f t="shared" ca="1" si="241"/>
        <v>-2.320437103230149</v>
      </c>
      <c r="F526" s="304">
        <f t="shared" ca="1" si="242"/>
        <v>2.4330721655069745</v>
      </c>
      <c r="G526" s="306">
        <f t="shared" ca="1" si="243"/>
        <v>11.666646783529707</v>
      </c>
      <c r="H526" s="307">
        <f t="shared" ca="1" si="244"/>
        <v>-120.39590775292682</v>
      </c>
      <c r="I526" s="304">
        <f t="shared" ca="1" si="245"/>
        <v>120.95984974702519</v>
      </c>
      <c r="J526" s="306">
        <f t="shared" ca="1" si="246"/>
        <v>780.28673097749038</v>
      </c>
      <c r="K526" s="307">
        <f t="shared" ca="1" si="247"/>
        <v>52.093613612944687</v>
      </c>
      <c r="L526" s="304">
        <f t="shared" ca="1" si="232"/>
        <v>782.02373820670766</v>
      </c>
      <c r="M526" s="306">
        <f t="shared" ca="1" si="248"/>
        <v>-1.4741955825771946</v>
      </c>
      <c r="N526" s="304">
        <f t="shared" ca="1" si="249"/>
        <v>-84.465185058502882</v>
      </c>
      <c r="P526" s="310">
        <f t="shared" ca="1" si="250"/>
        <v>23</v>
      </c>
      <c r="Q526" s="304">
        <f t="shared" ca="1" si="251"/>
        <v>0</v>
      </c>
      <c r="R526" s="306">
        <f t="shared" ca="1" si="252"/>
        <v>0</v>
      </c>
      <c r="S526" s="307">
        <f t="shared" ca="1" si="253"/>
        <v>7.4799999999999969</v>
      </c>
      <c r="T526" s="304">
        <f t="shared" ca="1" si="233"/>
        <v>73.37879999999997</v>
      </c>
      <c r="U526" s="311">
        <f t="shared" ca="1" si="234"/>
        <v>0</v>
      </c>
      <c r="V526" s="306">
        <f t="shared" ca="1" si="235"/>
        <v>1.2186351108362534</v>
      </c>
      <c r="W526" s="304">
        <f t="shared" ca="1" si="236"/>
        <v>56.565589001143159</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2.2382925195346077</v>
      </c>
      <c r="AH526" s="304">
        <f t="shared" ca="1" si="260"/>
        <v>-7.5252218702965346</v>
      </c>
    </row>
    <row r="527" spans="1:34" x14ac:dyDescent="0.2">
      <c r="A527" s="347">
        <f t="shared" ca="1" si="238"/>
        <v>0.1</v>
      </c>
      <c r="B527" s="304">
        <f t="shared" ca="1" si="239"/>
        <v>34.300000000000217</v>
      </c>
      <c r="D527" s="306">
        <f t="shared" ca="1" si="240"/>
        <v>-0.72938281485012191</v>
      </c>
      <c r="E527" s="307">
        <f t="shared" ca="1" si="241"/>
        <v>-2.2830123639950273</v>
      </c>
      <c r="F527" s="304">
        <f t="shared" ca="1" si="242"/>
        <v>2.3966945455674677</v>
      </c>
      <c r="G527" s="306">
        <f t="shared" ca="1" si="243"/>
        <v>11.593708502044695</v>
      </c>
      <c r="H527" s="307">
        <f t="shared" ca="1" si="244"/>
        <v>-120.62420898932632</v>
      </c>
      <c r="I527" s="304">
        <f t="shared" ca="1" si="245"/>
        <v>121.18008859186007</v>
      </c>
      <c r="J527" s="306">
        <f t="shared" ca="1" si="246"/>
        <v>781.4497487417691</v>
      </c>
      <c r="K527" s="307">
        <f t="shared" ca="1" si="247"/>
        <v>40.042607775832025</v>
      </c>
      <c r="L527" s="304">
        <f t="shared" ca="1" si="232"/>
        <v>782.47499656286982</v>
      </c>
      <c r="M527" s="306">
        <f t="shared" ca="1" si="248"/>
        <v>-1.4749763875967836</v>
      </c>
      <c r="N527" s="304">
        <f t="shared" ca="1" si="249"/>
        <v>-84.509921890747961</v>
      </c>
      <c r="P527" s="310">
        <f t="shared" ca="1" si="250"/>
        <v>23</v>
      </c>
      <c r="Q527" s="304">
        <f t="shared" ca="1" si="251"/>
        <v>0</v>
      </c>
      <c r="R527" s="306">
        <f t="shared" ca="1" si="252"/>
        <v>0</v>
      </c>
      <c r="S527" s="307">
        <f t="shared" ca="1" si="253"/>
        <v>7.4799999999999969</v>
      </c>
      <c r="T527" s="304">
        <f t="shared" ca="1" si="233"/>
        <v>73.37879999999997</v>
      </c>
      <c r="U527" s="311">
        <f t="shared" ca="1" si="234"/>
        <v>0</v>
      </c>
      <c r="V527" s="306">
        <f t="shared" ca="1" si="235"/>
        <v>1.2201045818129788</v>
      </c>
      <c r="W527" s="304">
        <f t="shared" ca="1" si="236"/>
        <v>56.840218527254919</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2.2020190572372496</v>
      </c>
      <c r="AH527" s="304">
        <f t="shared" ca="1" si="260"/>
        <v>-7.5622445188694094</v>
      </c>
    </row>
    <row r="528" spans="1:34" x14ac:dyDescent="0.2">
      <c r="A528" s="347">
        <f t="shared" ca="1" si="238"/>
        <v>0.1</v>
      </c>
      <c r="B528" s="304">
        <f t="shared" ca="1" si="239"/>
        <v>34.400000000000219</v>
      </c>
      <c r="D528" s="306">
        <f t="shared" ca="1" si="240"/>
        <v>-0.72701814844150214</v>
      </c>
      <c r="E528" s="307">
        <f t="shared" ca="1" si="241"/>
        <v>-2.2458983959986139</v>
      </c>
      <c r="F528" s="304">
        <f t="shared" ca="1" si="242"/>
        <v>2.3606386833466186</v>
      </c>
      <c r="G528" s="306">
        <f t="shared" ca="1" si="243"/>
        <v>11.521006687200545</v>
      </c>
      <c r="H528" s="307">
        <f t="shared" ca="1" si="244"/>
        <v>-120.84879882892618</v>
      </c>
      <c r="I528" s="304">
        <f t="shared" ca="1" si="245"/>
        <v>121.39672884176406</v>
      </c>
      <c r="J528" s="306">
        <f t="shared" ca="1" si="246"/>
        <v>782.60548450123133</v>
      </c>
      <c r="K528" s="307">
        <f t="shared" ca="1" si="247"/>
        <v>27.968957384919399</v>
      </c>
      <c r="L528" s="304">
        <f t="shared" ca="1" si="232"/>
        <v>783.10510593955814</v>
      </c>
      <c r="M528" s="306">
        <f t="shared" ca="1" si="248"/>
        <v>-1.4757495187570064</v>
      </c>
      <c r="N528" s="304">
        <f t="shared" ca="1" si="249"/>
        <v>-84.554219043238788</v>
      </c>
      <c r="P528" s="310">
        <f t="shared" ca="1" si="250"/>
        <v>23</v>
      </c>
      <c r="Q528" s="304">
        <f t="shared" ca="1" si="251"/>
        <v>0</v>
      </c>
      <c r="R528" s="306">
        <f t="shared" ca="1" si="252"/>
        <v>0</v>
      </c>
      <c r="S528" s="307">
        <f t="shared" ca="1" si="253"/>
        <v>7.4799999999999969</v>
      </c>
      <c r="T528" s="304">
        <f t="shared" ca="1" si="233"/>
        <v>73.37879999999997</v>
      </c>
      <c r="U528" s="311">
        <f t="shared" ca="1" si="234"/>
        <v>0</v>
      </c>
      <c r="V528" s="306">
        <f t="shared" ca="1" si="235"/>
        <v>1.2215785873875251</v>
      </c>
      <c r="W528" s="304">
        <f t="shared" ca="1" si="236"/>
        <v>57.112547189773572</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2.1660396856372159</v>
      </c>
      <c r="AH528" s="304">
        <f t="shared" ca="1" si="260"/>
        <v>-7.5989596961570776</v>
      </c>
    </row>
    <row r="529" spans="1:34" x14ac:dyDescent="0.2">
      <c r="A529" s="347">
        <f t="shared" ca="1" si="238"/>
        <v>0.1</v>
      </c>
      <c r="B529" s="304">
        <f t="shared" ca="1" si="239"/>
        <v>34.50000000000022</v>
      </c>
      <c r="D529" s="306">
        <f t="shared" ca="1" si="240"/>
        <v>-0.72462510507374389</v>
      </c>
      <c r="E529" s="307">
        <f t="shared" ca="1" si="241"/>
        <v>-2.2090953284721468</v>
      </c>
      <c r="F529" s="304">
        <f t="shared" ca="1" si="242"/>
        <v>2.3249050976718588</v>
      </c>
      <c r="G529" s="306">
        <f t="shared" ca="1" si="243"/>
        <v>11.44854417669317</v>
      </c>
      <c r="H529" s="307">
        <f t="shared" ca="1" si="244"/>
        <v>-121.06970836177339</v>
      </c>
      <c r="I529" s="304">
        <f t="shared" ca="1" si="245"/>
        <v>121.60979996106629</v>
      </c>
      <c r="J529" s="306">
        <f t="shared" ca="1" si="246"/>
        <v>783.75396204442598</v>
      </c>
      <c r="K529" s="307">
        <f t="shared" ca="1" si="247"/>
        <v>15.873032025384418</v>
      </c>
      <c r="L529" s="304">
        <f t="shared" ca="1" si="232"/>
        <v>783.91468041236112</v>
      </c>
      <c r="M529" s="306">
        <f t="shared" ca="1" si="248"/>
        <v>-1.4765150870178336</v>
      </c>
      <c r="N529" s="304">
        <f t="shared" ca="1" si="249"/>
        <v>-84.598082873513349</v>
      </c>
      <c r="P529" s="310">
        <f t="shared" ca="1" si="250"/>
        <v>23</v>
      </c>
      <c r="Q529" s="304">
        <f t="shared" ca="1" si="251"/>
        <v>0</v>
      </c>
      <c r="R529" s="306">
        <f t="shared" ca="1" si="252"/>
        <v>0</v>
      </c>
      <c r="S529" s="307">
        <f t="shared" ca="1" si="253"/>
        <v>7.4799999999999969</v>
      </c>
      <c r="T529" s="304">
        <f t="shared" ca="1" si="233"/>
        <v>73.37879999999997</v>
      </c>
      <c r="U529" s="311">
        <f t="shared" ca="1" si="234"/>
        <v>0</v>
      </c>
      <c r="V529" s="306">
        <f t="shared" ca="1" si="235"/>
        <v>1.2230570955661055</v>
      </c>
      <c r="W529" s="304">
        <f t="shared" ca="1" si="236"/>
        <v>57.382574515721778</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2.1303548187058787</v>
      </c>
      <c r="AH529" s="304">
        <f t="shared" ca="1" si="260"/>
        <v>-7.6353672713601064</v>
      </c>
    </row>
    <row r="530" spans="1:34" x14ac:dyDescent="0.2">
      <c r="A530" s="347">
        <f t="shared" ca="1" si="238"/>
        <v>0.1</v>
      </c>
      <c r="B530" s="304">
        <f t="shared" ca="1" si="239"/>
        <v>34.600000000000222</v>
      </c>
      <c r="D530" s="306">
        <f t="shared" ca="1" si="240"/>
        <v>-0.72220438609937265</v>
      </c>
      <c r="E530" s="307">
        <f t="shared" ca="1" si="241"/>
        <v>-2.1726032224561749</v>
      </c>
      <c r="F530" s="304">
        <f t="shared" ca="1" si="242"/>
        <v>2.2894942536569354</v>
      </c>
      <c r="G530" s="306">
        <f t="shared" ca="1" si="243"/>
        <v>11.376323738083233</v>
      </c>
      <c r="H530" s="307">
        <f t="shared" ca="1" si="244"/>
        <v>-121.28696868401902</v>
      </c>
      <c r="I530" s="304">
        <f t="shared" ca="1" si="245"/>
        <v>121.81933144764785</v>
      </c>
      <c r="J530" s="306">
        <f t="shared" ca="1" si="246"/>
        <v>784.89520544016477</v>
      </c>
      <c r="K530" s="307">
        <f t="shared" ca="1" si="247"/>
        <v>3.7551981730947972</v>
      </c>
      <c r="L530" s="304">
        <f t="shared" ca="1" si="232"/>
        <v>784.90418844358169</v>
      </c>
      <c r="M530" s="306">
        <f t="shared" ca="1" si="248"/>
        <v>-1.4772732010364622</v>
      </c>
      <c r="N530" s="304">
        <f t="shared" ca="1" si="249"/>
        <v>-84.64151960717048</v>
      </c>
      <c r="P530" s="310">
        <f t="shared" ca="1" si="250"/>
        <v>23</v>
      </c>
      <c r="Q530" s="304">
        <f t="shared" ca="1" si="251"/>
        <v>0</v>
      </c>
      <c r="R530" s="306">
        <f t="shared" ca="1" si="252"/>
        <v>0</v>
      </c>
      <c r="S530" s="307">
        <f t="shared" ca="1" si="253"/>
        <v>7.4799999999999969</v>
      </c>
      <c r="T530" s="304">
        <f t="shared" ca="1" si="233"/>
        <v>73.37879999999997</v>
      </c>
      <c r="U530" s="311">
        <f t="shared" ca="1" si="234"/>
        <v>0</v>
      </c>
      <c r="V530" s="306">
        <f t="shared" ca="1" si="235"/>
        <v>1.2245400745793511</v>
      </c>
      <c r="W530" s="304">
        <f t="shared" ca="1" si="236"/>
        <v>57.650300527206042</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2.0949647955290001</v>
      </c>
      <c r="AH530" s="304">
        <f t="shared" ca="1" si="260"/>
        <v>-7.6714671812462303</v>
      </c>
    </row>
    <row r="531" spans="1:34" x14ac:dyDescent="0.2">
      <c r="A531" s="347">
        <f t="shared" ca="1" si="238"/>
        <v>0.1</v>
      </c>
      <c r="B531" s="304">
        <f t="shared" ca="1" si="239"/>
        <v>34.700000000000223</v>
      </c>
      <c r="D531" s="306">
        <f t="shared" ca="1" si="240"/>
        <v>-0.71975668683399852</v>
      </c>
      <c r="E531" s="307">
        <f t="shared" ca="1" si="241"/>
        <v>-2.1364220721924552</v>
      </c>
      <c r="F531" s="304">
        <f t="shared" ca="1" si="242"/>
        <v>2.2544065646624967</v>
      </c>
      <c r="G531" s="306">
        <f t="shared" ca="1" si="243"/>
        <v>11.304348069399833</v>
      </c>
      <c r="H531" s="307">
        <f t="shared" ca="1" si="244"/>
        <v>-121.50061089123827</v>
      </c>
      <c r="I531" s="304">
        <f t="shared" ca="1" si="245"/>
        <v>122.02535282562485</v>
      </c>
      <c r="J531" s="306">
        <f t="shared" ca="1" si="246"/>
        <v>786.02923903053897</v>
      </c>
      <c r="K531" s="307">
        <f t="shared" ca="1" si="247"/>
        <v>-8.3841808056680662</v>
      </c>
      <c r="L531" s="304">
        <f t="shared" ca="1" si="232"/>
        <v>786.07395269065512</v>
      </c>
      <c r="M531" s="306">
        <f t="shared" ca="1" si="248"/>
        <v>-1.4780239672271025</v>
      </c>
      <c r="N531" s="304">
        <f t="shared" ca="1" si="249"/>
        <v>-84.684535341295273</v>
      </c>
      <c r="P531" s="310">
        <f t="shared" ca="1" si="250"/>
        <v>23</v>
      </c>
      <c r="Q531" s="304">
        <f t="shared" ca="1" si="251"/>
        <v>0</v>
      </c>
      <c r="R531" s="306">
        <f t="shared" ca="1" si="252"/>
        <v>0</v>
      </c>
      <c r="S531" s="307">
        <f t="shared" ca="1" si="253"/>
        <v>7.4799999999999969</v>
      </c>
      <c r="T531" s="304">
        <f t="shared" ca="1" si="233"/>
        <v>73.37879999999997</v>
      </c>
      <c r="U531" s="311">
        <f t="shared" ca="1" si="234"/>
        <v>0</v>
      </c>
      <c r="V531" s="306">
        <f t="shared" ca="1" si="235"/>
        <v>1.2260274928829997</v>
      </c>
      <c r="W531" s="304">
        <f t="shared" ca="1" si="236"/>
        <v>57.915725731134437</v>
      </c>
      <c r="Y531" s="314" t="str">
        <f t="shared" ca="1" si="254"/>
        <v>Impact balistique</v>
      </c>
      <c r="Z531" s="315" t="str">
        <f t="shared" ca="1" si="255"/>
        <v/>
      </c>
      <c r="AA531" s="316" t="str">
        <f t="shared" ca="1" si="256"/>
        <v/>
      </c>
      <c r="AC531" s="310" t="e">
        <f t="shared" ca="1" si="257"/>
        <v>#N/A</v>
      </c>
      <c r="AD531" s="323" t="e">
        <f t="shared" ca="1" si="258"/>
        <v>#N/A</v>
      </c>
      <c r="AE531" s="324" t="e">
        <f t="shared" ca="1" si="237"/>
        <v>#N/A</v>
      </c>
      <c r="AG531" s="306">
        <f t="shared" ca="1" si="259"/>
        <v>2.0598698819129382</v>
      </c>
      <c r="AH531" s="304">
        <f t="shared" ca="1" si="260"/>
        <v>-7.7072594287708647</v>
      </c>
    </row>
    <row r="532" spans="1:34" x14ac:dyDescent="0.2">
      <c r="A532" s="347">
        <f t="shared" ca="1" si="238"/>
        <v>1E-4</v>
      </c>
      <c r="B532" s="304">
        <f t="shared" ca="1" si="239"/>
        <v>34.700100000000226</v>
      </c>
      <c r="D532" s="306">
        <f t="shared" ca="1" si="240"/>
        <v>-0.71728269646494336</v>
      </c>
      <c r="E532" s="307">
        <f t="shared" ca="1" si="241"/>
        <v>-2.1005518065110156</v>
      </c>
      <c r="F532" s="304">
        <f t="shared" ca="1" si="242"/>
        <v>2.2196423942799233</v>
      </c>
      <c r="G532" s="306">
        <f t="shared" ca="1" si="243"/>
        <v>11.304276341130187</v>
      </c>
      <c r="H532" s="307">
        <f t="shared" ca="1" si="244"/>
        <v>-121.50082094641891</v>
      </c>
      <c r="I532" s="304">
        <f t="shared" ca="1" si="245"/>
        <v>122.02555533268588</v>
      </c>
      <c r="J532" s="306">
        <f t="shared" ca="1" si="246"/>
        <v>786.02923903053897</v>
      </c>
      <c r="K532" s="307">
        <f t="shared" ca="1" si="247"/>
        <v>-8.396330877259949</v>
      </c>
      <c r="L532" s="304">
        <f t="shared" ca="1" si="232"/>
        <v>786.07408237590982</v>
      </c>
      <c r="M532" s="306">
        <f t="shared" ca="1" si="248"/>
        <v>-1.4780247119825076</v>
      </c>
      <c r="N532" s="304">
        <f t="shared" ca="1" si="249"/>
        <v>-84.684578012636763</v>
      </c>
      <c r="P532" s="310">
        <f t="shared" ca="1" si="250"/>
        <v>23</v>
      </c>
      <c r="Q532" s="304">
        <f t="shared" ca="1" si="251"/>
        <v>0</v>
      </c>
      <c r="R532" s="306">
        <f t="shared" ca="1" si="252"/>
        <v>0</v>
      </c>
      <c r="S532" s="307">
        <f t="shared" ca="1" si="253"/>
        <v>7.4799999999999969</v>
      </c>
      <c r="T532" s="304">
        <f t="shared" ca="1" si="233"/>
        <v>73.37879999999997</v>
      </c>
      <c r="U532" s="311">
        <f t="shared" ca="1" si="234"/>
        <v>0</v>
      </c>
      <c r="V532" s="306">
        <f t="shared" ca="1" si="235"/>
        <v>1.226028982516348</v>
      </c>
      <c r="W532" s="304">
        <f t="shared" ca="1" si="236"/>
        <v>57.9159883275818</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2.0250702719778824</v>
      </c>
      <c r="AH532" s="304">
        <f t="shared" ca="1" si="260"/>
        <v>-7.742744081702468</v>
      </c>
    </row>
    <row r="533" spans="1:34" x14ac:dyDescent="0.2">
      <c r="A533" s="347">
        <f t="shared" ca="1" si="238"/>
        <v>1E-4</v>
      </c>
      <c r="B533" s="304">
        <f t="shared" ca="1" si="239"/>
        <v>34.70020000000023</v>
      </c>
      <c r="D533" s="306">
        <f t="shared" ca="1" si="240"/>
        <v>-0.71728020702632711</v>
      </c>
      <c r="E533" s="307">
        <f t="shared" ca="1" si="241"/>
        <v>-2.1005163168009666</v>
      </c>
      <c r="F533" s="304">
        <f t="shared" ca="1" si="242"/>
        <v>2.2196080042518385</v>
      </c>
      <c r="G533" s="306">
        <f t="shared" ca="1" si="243"/>
        <v>11.304204613109484</v>
      </c>
      <c r="H533" s="307">
        <f t="shared" ca="1" si="244"/>
        <v>-121.5010309980506</v>
      </c>
      <c r="I533" s="304">
        <f t="shared" ca="1" si="245"/>
        <v>122.02575783630395</v>
      </c>
      <c r="J533" s="306">
        <f t="shared" ca="1" si="246"/>
        <v>786.02923903053897</v>
      </c>
      <c r="K533" s="307">
        <f t="shared" ca="1" si="247"/>
        <v>-8.4084809698571732</v>
      </c>
      <c r="L533" s="304">
        <f t="shared" ca="1" si="232"/>
        <v>786.07421224916709</v>
      </c>
      <c r="M533" s="306">
        <f t="shared" ca="1" si="248"/>
        <v>-1.4780254567307154</v>
      </c>
      <c r="N533" s="304">
        <f t="shared" ca="1" si="249"/>
        <v>-84.684620683565868</v>
      </c>
      <c r="P533" s="310">
        <f t="shared" ca="1" si="250"/>
        <v>23</v>
      </c>
      <c r="Q533" s="304">
        <f t="shared" ca="1" si="251"/>
        <v>0</v>
      </c>
      <c r="R533" s="306">
        <f t="shared" ca="1" si="252"/>
        <v>0</v>
      </c>
      <c r="S533" s="307">
        <f t="shared" ca="1" si="253"/>
        <v>7.4799999999999969</v>
      </c>
      <c r="T533" s="304">
        <f t="shared" ca="1" si="233"/>
        <v>73.37879999999997</v>
      </c>
      <c r="U533" s="311">
        <f t="shared" ca="1" si="234"/>
        <v>0</v>
      </c>
      <c r="V533" s="306">
        <f t="shared" ca="1" si="235"/>
        <v>1.2260304721540825</v>
      </c>
      <c r="W533" s="304">
        <f t="shared" ca="1" si="236"/>
        <v>57.916250921754269</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2.0250358423259458</v>
      </c>
      <c r="AH533" s="304">
        <f t="shared" ca="1" si="260"/>
        <v>-7.7427791881793882</v>
      </c>
    </row>
    <row r="534" spans="1:34" x14ac:dyDescent="0.2">
      <c r="A534" s="347">
        <f t="shared" ca="1" si="238"/>
        <v>1E-4</v>
      </c>
      <c r="B534" s="304">
        <f t="shared" ca="1" si="239"/>
        <v>34.700300000000233</v>
      </c>
      <c r="D534" s="306">
        <f t="shared" ca="1" si="240"/>
        <v>-0.71727771756256076</v>
      </c>
      <c r="E534" s="307">
        <f t="shared" ca="1" si="241"/>
        <v>-2.1004808273983349</v>
      </c>
      <c r="F534" s="304">
        <f t="shared" ca="1" si="242"/>
        <v>2.2195736145439624</v>
      </c>
      <c r="G534" s="306">
        <f t="shared" ca="1" si="243"/>
        <v>11.304132885337728</v>
      </c>
      <c r="H534" s="307">
        <f t="shared" ca="1" si="244"/>
        <v>-121.50124104613333</v>
      </c>
      <c r="I534" s="304">
        <f t="shared" ca="1" si="245"/>
        <v>122.02596033647909</v>
      </c>
      <c r="J534" s="306">
        <f t="shared" ca="1" si="246"/>
        <v>786.02923903053897</v>
      </c>
      <c r="K534" s="307">
        <f t="shared" ca="1" si="247"/>
        <v>-8.4206310834593818</v>
      </c>
      <c r="L534" s="304">
        <f t="shared" ca="1" si="232"/>
        <v>786.07434231042805</v>
      </c>
      <c r="M534" s="306">
        <f t="shared" ca="1" si="248"/>
        <v>-1.4780262014717256</v>
      </c>
      <c r="N534" s="304">
        <f t="shared" ca="1" si="249"/>
        <v>-84.684663354082588</v>
      </c>
      <c r="P534" s="310">
        <f t="shared" ca="1" si="250"/>
        <v>23</v>
      </c>
      <c r="Q534" s="304">
        <f t="shared" ca="1" si="251"/>
        <v>0</v>
      </c>
      <c r="R534" s="306">
        <f t="shared" ca="1" si="252"/>
        <v>0</v>
      </c>
      <c r="S534" s="307">
        <f t="shared" ca="1" si="253"/>
        <v>7.4799999999999969</v>
      </c>
      <c r="T534" s="304">
        <f t="shared" ca="1" si="233"/>
        <v>73.37879999999997</v>
      </c>
      <c r="U534" s="311">
        <f t="shared" ca="1" si="234"/>
        <v>0</v>
      </c>
      <c r="V534" s="306">
        <f t="shared" ca="1" si="235"/>
        <v>1.226031961796203</v>
      </c>
      <c r="W534" s="304">
        <f t="shared" ca="1" si="236"/>
        <v>57.91651351365185</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2.0250014129661826</v>
      </c>
      <c r="AH534" s="304">
        <f t="shared" ca="1" si="260"/>
        <v>-7.7428142943521783</v>
      </c>
    </row>
    <row r="535" spans="1:34" x14ac:dyDescent="0.2">
      <c r="A535" s="347">
        <f t="shared" ca="1" si="238"/>
        <v>1E-4</v>
      </c>
      <c r="B535" s="304">
        <f t="shared" ca="1" si="239"/>
        <v>34.700400000000236</v>
      </c>
      <c r="D535" s="306">
        <f t="shared" ca="1" si="240"/>
        <v>-0.7172752280736473</v>
      </c>
      <c r="E535" s="307">
        <f t="shared" ca="1" si="241"/>
        <v>-2.1004453383031194</v>
      </c>
      <c r="F535" s="304">
        <f t="shared" ca="1" si="242"/>
        <v>2.2195392251562955</v>
      </c>
      <c r="G535" s="306">
        <f t="shared" ca="1" si="243"/>
        <v>11.304061157814921</v>
      </c>
      <c r="H535" s="307">
        <f t="shared" ca="1" si="244"/>
        <v>-121.50145109066716</v>
      </c>
      <c r="I535" s="304">
        <f t="shared" ca="1" si="245"/>
        <v>122.02616283321132</v>
      </c>
      <c r="J535" s="306">
        <f t="shared" ca="1" si="246"/>
        <v>786.02923903053897</v>
      </c>
      <c r="K535" s="307">
        <f t="shared" ca="1" si="247"/>
        <v>-8.4327812180662214</v>
      </c>
      <c r="L535" s="304">
        <f t="shared" ca="1" si="232"/>
        <v>786.07447255969328</v>
      </c>
      <c r="M535" s="306">
        <f t="shared" ca="1" si="248"/>
        <v>-1.4780269462055386</v>
      </c>
      <c r="N535" s="304">
        <f t="shared" ca="1" si="249"/>
        <v>-84.684706024186923</v>
      </c>
      <c r="P535" s="310">
        <f t="shared" ca="1" si="250"/>
        <v>23</v>
      </c>
      <c r="Q535" s="304">
        <f t="shared" ca="1" si="251"/>
        <v>0</v>
      </c>
      <c r="R535" s="306">
        <f t="shared" ca="1" si="252"/>
        <v>0</v>
      </c>
      <c r="S535" s="307">
        <f t="shared" ca="1" si="253"/>
        <v>7.4799999999999969</v>
      </c>
      <c r="T535" s="304">
        <f t="shared" ca="1" si="233"/>
        <v>73.37879999999997</v>
      </c>
      <c r="U535" s="311">
        <f t="shared" ca="1" si="234"/>
        <v>0</v>
      </c>
      <c r="V535" s="306">
        <f t="shared" ca="1" si="235"/>
        <v>1.2260334514427091</v>
      </c>
      <c r="W535" s="304">
        <f t="shared" ca="1" si="236"/>
        <v>57.916776103274515</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2.0249669838985902</v>
      </c>
      <c r="AH535" s="304">
        <f t="shared" ca="1" si="260"/>
        <v>-7.7428494002208392</v>
      </c>
    </row>
    <row r="536" spans="1:34" x14ac:dyDescent="0.2">
      <c r="A536" s="347">
        <f t="shared" ca="1" si="238"/>
        <v>1E-4</v>
      </c>
      <c r="B536" s="304">
        <f t="shared" ca="1" si="239"/>
        <v>34.70050000000024</v>
      </c>
      <c r="D536" s="306">
        <f t="shared" ca="1" si="240"/>
        <v>-0.7172727385595844</v>
      </c>
      <c r="E536" s="307">
        <f t="shared" ca="1" si="241"/>
        <v>-2.1004098495153238</v>
      </c>
      <c r="F536" s="304">
        <f t="shared" ca="1" si="242"/>
        <v>2.2195048360888405</v>
      </c>
      <c r="G536" s="306">
        <f t="shared" ca="1" si="243"/>
        <v>11.303989430541066</v>
      </c>
      <c r="H536" s="307">
        <f t="shared" ca="1" si="244"/>
        <v>-121.50166113165211</v>
      </c>
      <c r="I536" s="304">
        <f t="shared" ca="1" si="245"/>
        <v>122.02636532650067</v>
      </c>
      <c r="J536" s="306">
        <f t="shared" ca="1" si="246"/>
        <v>786.02923903053897</v>
      </c>
      <c r="K536" s="307">
        <f t="shared" ca="1" si="247"/>
        <v>-8.4449313736773366</v>
      </c>
      <c r="L536" s="304">
        <f t="shared" ca="1" si="232"/>
        <v>786.07460299696379</v>
      </c>
      <c r="M536" s="306">
        <f t="shared" ca="1" si="248"/>
        <v>-1.4780276909321544</v>
      </c>
      <c r="N536" s="304">
        <f t="shared" ca="1" si="249"/>
        <v>-84.684748693878902</v>
      </c>
      <c r="P536" s="310">
        <f t="shared" ca="1" si="250"/>
        <v>23</v>
      </c>
      <c r="Q536" s="304">
        <f t="shared" ca="1" si="251"/>
        <v>0</v>
      </c>
      <c r="R536" s="306">
        <f t="shared" ca="1" si="252"/>
        <v>0</v>
      </c>
      <c r="S536" s="307">
        <f t="shared" ca="1" si="253"/>
        <v>7.4799999999999969</v>
      </c>
      <c r="T536" s="304">
        <f t="shared" ca="1" si="233"/>
        <v>73.37879999999997</v>
      </c>
      <c r="U536" s="311">
        <f t="shared" ca="1" si="234"/>
        <v>0</v>
      </c>
      <c r="V536" s="306">
        <f t="shared" ca="1" si="235"/>
        <v>1.2260349410936011</v>
      </c>
      <c r="W536" s="304">
        <f t="shared" ca="1" si="236"/>
        <v>57.917038690622263</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2.0249325551231712</v>
      </c>
      <c r="AH536" s="304">
        <f t="shared" ca="1" si="260"/>
        <v>-7.7428845057853666</v>
      </c>
    </row>
    <row r="537" spans="1:34" x14ac:dyDescent="0.2">
      <c r="A537" s="347">
        <f t="shared" ca="1" si="238"/>
        <v>1E-4</v>
      </c>
      <c r="B537" s="304">
        <f t="shared" ca="1" si="239"/>
        <v>34.700600000000243</v>
      </c>
      <c r="D537" s="306">
        <f t="shared" ca="1" si="240"/>
        <v>-0.71727024902037506</v>
      </c>
      <c r="E537" s="307">
        <f t="shared" ca="1" si="241"/>
        <v>-2.100374361034949</v>
      </c>
      <c r="F537" s="304">
        <f t="shared" ca="1" si="242"/>
        <v>2.2194704473415996</v>
      </c>
      <c r="G537" s="306">
        <f t="shared" ca="1" si="243"/>
        <v>11.303917703516163</v>
      </c>
      <c r="H537" s="307">
        <f t="shared" ca="1" si="244"/>
        <v>-121.50187116908822</v>
      </c>
      <c r="I537" s="304">
        <f t="shared" ca="1" si="245"/>
        <v>122.02656781634718</v>
      </c>
      <c r="J537" s="306">
        <f t="shared" ca="1" si="246"/>
        <v>786.02923903053897</v>
      </c>
      <c r="K537" s="307">
        <f t="shared" ca="1" si="247"/>
        <v>-8.457081550292374</v>
      </c>
      <c r="L537" s="304">
        <f t="shared" ca="1" si="232"/>
        <v>786.07473362224061</v>
      </c>
      <c r="M537" s="306">
        <f t="shared" ca="1" si="248"/>
        <v>-1.4780284356515732</v>
      </c>
      <c r="N537" s="304">
        <f t="shared" ca="1" si="249"/>
        <v>-84.684791363158524</v>
      </c>
      <c r="P537" s="310">
        <f t="shared" ca="1" si="250"/>
        <v>23</v>
      </c>
      <c r="Q537" s="304">
        <f t="shared" ca="1" si="251"/>
        <v>0</v>
      </c>
      <c r="R537" s="306">
        <f t="shared" ca="1" si="252"/>
        <v>0</v>
      </c>
      <c r="S537" s="307">
        <f t="shared" ca="1" si="253"/>
        <v>7.4799999999999969</v>
      </c>
      <c r="T537" s="304">
        <f t="shared" ca="1" si="233"/>
        <v>73.37879999999997</v>
      </c>
      <c r="U537" s="311">
        <f t="shared" ca="1" si="234"/>
        <v>0</v>
      </c>
      <c r="V537" s="306">
        <f t="shared" ca="1" si="235"/>
        <v>1.2260364307488791</v>
      </c>
      <c r="W537" s="304">
        <f t="shared" ca="1" si="236"/>
        <v>57.917301275695138</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2.0248981266399291</v>
      </c>
      <c r="AH537" s="304">
        <f t="shared" ca="1" si="260"/>
        <v>-7.7429196110457603</v>
      </c>
    </row>
    <row r="538" spans="1:34" x14ac:dyDescent="0.2">
      <c r="A538" s="347">
        <f t="shared" ca="1" si="238"/>
        <v>1E-4</v>
      </c>
      <c r="B538" s="304">
        <f t="shared" ca="1" si="239"/>
        <v>34.700700000000246</v>
      </c>
      <c r="D538" s="306">
        <f t="shared" ca="1" si="240"/>
        <v>-0.71726775945601817</v>
      </c>
      <c r="E538" s="307">
        <f t="shared" ca="1" si="241"/>
        <v>-2.1003388728619878</v>
      </c>
      <c r="F538" s="304">
        <f t="shared" ca="1" si="242"/>
        <v>2.2194360589145661</v>
      </c>
      <c r="G538" s="306">
        <f t="shared" ca="1" si="243"/>
        <v>11.303845976740217</v>
      </c>
      <c r="H538" s="307">
        <f t="shared" ca="1" si="244"/>
        <v>-121.5020812029755</v>
      </c>
      <c r="I538" s="304">
        <f t="shared" ca="1" si="245"/>
        <v>122.02677030275086</v>
      </c>
      <c r="J538" s="306">
        <f t="shared" ca="1" si="246"/>
        <v>786.02923903053897</v>
      </c>
      <c r="K538" s="307">
        <f t="shared" ca="1" si="247"/>
        <v>-8.4692317479109764</v>
      </c>
      <c r="L538" s="304">
        <f t="shared" ca="1" si="232"/>
        <v>786.07486443552443</v>
      </c>
      <c r="M538" s="306">
        <f t="shared" ca="1" si="248"/>
        <v>-1.4780291803637948</v>
      </c>
      <c r="N538" s="304">
        <f t="shared" ca="1" si="249"/>
        <v>-84.684834032025776</v>
      </c>
      <c r="P538" s="310">
        <f t="shared" ca="1" si="250"/>
        <v>23</v>
      </c>
      <c r="Q538" s="304">
        <f t="shared" ca="1" si="251"/>
        <v>0</v>
      </c>
      <c r="R538" s="306">
        <f t="shared" ca="1" si="252"/>
        <v>0</v>
      </c>
      <c r="S538" s="307">
        <f t="shared" ca="1" si="253"/>
        <v>7.4799999999999969</v>
      </c>
      <c r="T538" s="304">
        <f t="shared" ca="1" si="233"/>
        <v>73.37879999999997</v>
      </c>
      <c r="U538" s="311">
        <f t="shared" ca="1" si="234"/>
        <v>0</v>
      </c>
      <c r="V538" s="306">
        <f t="shared" ca="1" si="235"/>
        <v>1.2260379204085428</v>
      </c>
      <c r="W538" s="304">
        <f t="shared" ca="1" si="236"/>
        <v>57.917563858493089</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2.0248636984488559</v>
      </c>
      <c r="AH538" s="304">
        <f t="shared" ca="1" si="260"/>
        <v>-7.7429547160020267</v>
      </c>
    </row>
    <row r="539" spans="1:34" x14ac:dyDescent="0.2">
      <c r="A539" s="347">
        <f t="shared" ca="1" si="238"/>
        <v>1E-4</v>
      </c>
      <c r="B539" s="304">
        <f t="shared" ca="1" si="239"/>
        <v>34.70080000000025</v>
      </c>
      <c r="D539" s="306">
        <f t="shared" ca="1" si="240"/>
        <v>-0.71726526986651618</v>
      </c>
      <c r="E539" s="307">
        <f t="shared" ca="1" si="241"/>
        <v>-2.1003033849964474</v>
      </c>
      <c r="F539" s="304">
        <f t="shared" ca="1" si="242"/>
        <v>2.2194016708077475</v>
      </c>
      <c r="G539" s="306">
        <f t="shared" ca="1" si="243"/>
        <v>11.30377425021323</v>
      </c>
      <c r="H539" s="307">
        <f t="shared" ca="1" si="244"/>
        <v>-121.502291233314</v>
      </c>
      <c r="I539" s="304">
        <f t="shared" ca="1" si="245"/>
        <v>122.02697278571175</v>
      </c>
      <c r="J539" s="306">
        <f t="shared" ca="1" si="246"/>
        <v>786.02923903053897</v>
      </c>
      <c r="K539" s="307">
        <f t="shared" ca="1" si="247"/>
        <v>-8.4813819665327905</v>
      </c>
      <c r="L539" s="304">
        <f t="shared" ca="1" si="232"/>
        <v>786.07499543681604</v>
      </c>
      <c r="M539" s="306">
        <f t="shared" ca="1" si="248"/>
        <v>-1.4780299250688198</v>
      </c>
      <c r="N539" s="304">
        <f t="shared" ca="1" si="249"/>
        <v>-84.684876700480686</v>
      </c>
      <c r="P539" s="310">
        <f t="shared" ca="1" si="250"/>
        <v>23</v>
      </c>
      <c r="Q539" s="304">
        <f t="shared" ca="1" si="251"/>
        <v>0</v>
      </c>
      <c r="R539" s="306">
        <f t="shared" ca="1" si="252"/>
        <v>0</v>
      </c>
      <c r="S539" s="307">
        <f t="shared" ca="1" si="253"/>
        <v>7.4799999999999969</v>
      </c>
      <c r="T539" s="304">
        <f t="shared" ca="1" si="233"/>
        <v>73.37879999999997</v>
      </c>
      <c r="U539" s="311">
        <f t="shared" ca="1" si="234"/>
        <v>0</v>
      </c>
      <c r="V539" s="306">
        <f t="shared" ca="1" si="235"/>
        <v>1.2260394100725927</v>
      </c>
      <c r="W539" s="304">
        <f t="shared" ca="1" si="236"/>
        <v>57.917826439016181</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2.0248292705499615</v>
      </c>
      <c r="AH539" s="304">
        <f t="shared" ca="1" si="260"/>
        <v>-7.7429898206541594</v>
      </c>
    </row>
    <row r="540" spans="1:34" x14ac:dyDescent="0.2">
      <c r="A540" s="347">
        <f t="shared" ca="1" si="238"/>
        <v>1E-4</v>
      </c>
      <c r="B540" s="304">
        <f t="shared" ca="1" si="239"/>
        <v>34.700900000000253</v>
      </c>
      <c r="D540" s="306">
        <f t="shared" ca="1" si="240"/>
        <v>-0.71726278025186785</v>
      </c>
      <c r="E540" s="307">
        <f t="shared" ca="1" si="241"/>
        <v>-2.1002678974383189</v>
      </c>
      <c r="F540" s="304">
        <f t="shared" ca="1" si="242"/>
        <v>2.2193672830211355</v>
      </c>
      <c r="G540" s="306">
        <f t="shared" ca="1" si="243"/>
        <v>11.303702523935206</v>
      </c>
      <c r="H540" s="307">
        <f t="shared" ca="1" si="244"/>
        <v>-121.50250126010374</v>
      </c>
      <c r="I540" s="304">
        <f t="shared" ca="1" si="245"/>
        <v>122.02717526522987</v>
      </c>
      <c r="J540" s="306">
        <f t="shared" ca="1" si="246"/>
        <v>786.02923903053897</v>
      </c>
      <c r="K540" s="307">
        <f t="shared" ca="1" si="247"/>
        <v>-8.493532206157461</v>
      </c>
      <c r="L540" s="304">
        <f t="shared" ca="1" si="232"/>
        <v>786.07512662611657</v>
      </c>
      <c r="M540" s="306">
        <f t="shared" ca="1" si="248"/>
        <v>-1.4780306697666479</v>
      </c>
      <c r="N540" s="304">
        <f t="shared" ca="1" si="249"/>
        <v>-84.684919368523254</v>
      </c>
      <c r="P540" s="310">
        <f t="shared" ca="1" si="250"/>
        <v>23</v>
      </c>
      <c r="Q540" s="304">
        <f t="shared" ca="1" si="251"/>
        <v>0</v>
      </c>
      <c r="R540" s="306">
        <f t="shared" ca="1" si="252"/>
        <v>0</v>
      </c>
      <c r="S540" s="307">
        <f t="shared" ca="1" si="253"/>
        <v>7.4799999999999969</v>
      </c>
      <c r="T540" s="304">
        <f t="shared" ca="1" si="233"/>
        <v>73.37879999999997</v>
      </c>
      <c r="U540" s="311">
        <f t="shared" ca="1" si="234"/>
        <v>0</v>
      </c>
      <c r="V540" s="306">
        <f t="shared" ca="1" si="235"/>
        <v>1.2260408997410279</v>
      </c>
      <c r="W540" s="304">
        <f t="shared" ca="1" si="236"/>
        <v>57.91808901726435</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2.0247948429432308</v>
      </c>
      <c r="AH540" s="304">
        <f t="shared" ca="1" si="260"/>
        <v>-7.7430249250021665</v>
      </c>
    </row>
    <row r="541" spans="1:34" x14ac:dyDescent="0.2">
      <c r="A541" s="347">
        <f t="shared" ca="1" si="238"/>
        <v>1E-4</v>
      </c>
      <c r="B541" s="304">
        <f t="shared" ca="1" si="239"/>
        <v>34.701000000000256</v>
      </c>
      <c r="D541" s="306">
        <f t="shared" ca="1" si="240"/>
        <v>-0.71726029061207541</v>
      </c>
      <c r="E541" s="307">
        <f t="shared" ca="1" si="241"/>
        <v>-2.1002324101876111</v>
      </c>
      <c r="F541" s="304">
        <f t="shared" ca="1" si="242"/>
        <v>2.2193328955547389</v>
      </c>
      <c r="G541" s="306">
        <f t="shared" ca="1" si="243"/>
        <v>11.303630797906145</v>
      </c>
      <c r="H541" s="307">
        <f t="shared" ca="1" si="244"/>
        <v>-121.50271128334477</v>
      </c>
      <c r="I541" s="304">
        <f t="shared" ca="1" si="245"/>
        <v>122.02737774130529</v>
      </c>
      <c r="J541" s="306">
        <f t="shared" ca="1" si="246"/>
        <v>786.02923903053897</v>
      </c>
      <c r="K541" s="307">
        <f t="shared" ca="1" si="247"/>
        <v>-8.5056824667846342</v>
      </c>
      <c r="L541" s="304">
        <f t="shared" ca="1" si="232"/>
        <v>786.07525800342682</v>
      </c>
      <c r="M541" s="306">
        <f t="shared" ca="1" si="248"/>
        <v>-1.4780314144572793</v>
      </c>
      <c r="N541" s="304">
        <f t="shared" ca="1" si="249"/>
        <v>-84.684962036153465</v>
      </c>
      <c r="P541" s="310">
        <f t="shared" ca="1" si="250"/>
        <v>23</v>
      </c>
      <c r="Q541" s="304">
        <f t="shared" ca="1" si="251"/>
        <v>0</v>
      </c>
      <c r="R541" s="306">
        <f t="shared" ca="1" si="252"/>
        <v>0</v>
      </c>
      <c r="S541" s="307">
        <f t="shared" ca="1" si="253"/>
        <v>7.4799999999999969</v>
      </c>
      <c r="T541" s="304">
        <f t="shared" ca="1" si="233"/>
        <v>73.37879999999997</v>
      </c>
      <c r="U541" s="311">
        <f t="shared" ca="1" si="234"/>
        <v>0</v>
      </c>
      <c r="V541" s="306">
        <f t="shared" ca="1" si="235"/>
        <v>1.2260423894138492</v>
      </c>
      <c r="W541" s="304">
        <f t="shared" ca="1" si="236"/>
        <v>57.918351593237666</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2.0247604156286814</v>
      </c>
      <c r="AH541" s="304">
        <f t="shared" ca="1" si="260"/>
        <v>-7.7430600290460392</v>
      </c>
    </row>
    <row r="542" spans="1:34" x14ac:dyDescent="0.2">
      <c r="A542" s="347">
        <f t="shared" ca="1" si="238"/>
        <v>1E-4</v>
      </c>
      <c r="B542" s="304">
        <f t="shared" ca="1" si="239"/>
        <v>34.70110000000026</v>
      </c>
      <c r="D542" s="306">
        <f t="shared" ca="1" si="240"/>
        <v>-0.71725780094713965</v>
      </c>
      <c r="E542" s="307">
        <f t="shared" ca="1" si="241"/>
        <v>-2.1001969232443161</v>
      </c>
      <c r="F542" s="304">
        <f t="shared" ca="1" si="242"/>
        <v>2.2192985084085506</v>
      </c>
      <c r="G542" s="306">
        <f t="shared" ca="1" si="243"/>
        <v>11.303559072126051</v>
      </c>
      <c r="H542" s="307">
        <f t="shared" ca="1" si="244"/>
        <v>-121.50292130303708</v>
      </c>
      <c r="I542" s="304">
        <f t="shared" ca="1" si="245"/>
        <v>122.02758021393797</v>
      </c>
      <c r="J542" s="306">
        <f t="shared" ca="1" si="246"/>
        <v>786.02923903053897</v>
      </c>
      <c r="K542" s="307">
        <f t="shared" ca="1" si="247"/>
        <v>-8.5178327484139533</v>
      </c>
      <c r="L542" s="304">
        <f t="shared" ca="1" si="232"/>
        <v>786.07538956874748</v>
      </c>
      <c r="M542" s="306">
        <f t="shared" ca="1" si="248"/>
        <v>-1.4780321591407142</v>
      </c>
      <c r="N542" s="304">
        <f t="shared" ca="1" si="249"/>
        <v>-84.685004703371362</v>
      </c>
      <c r="P542" s="310">
        <f t="shared" ca="1" si="250"/>
        <v>23</v>
      </c>
      <c r="Q542" s="304">
        <f t="shared" ca="1" si="251"/>
        <v>0</v>
      </c>
      <c r="R542" s="306">
        <f t="shared" ca="1" si="252"/>
        <v>0</v>
      </c>
      <c r="S542" s="307">
        <f t="shared" ca="1" si="253"/>
        <v>7.4799999999999969</v>
      </c>
      <c r="T542" s="304">
        <f t="shared" ca="1" si="233"/>
        <v>73.37879999999997</v>
      </c>
      <c r="U542" s="311">
        <f t="shared" ca="1" si="234"/>
        <v>0</v>
      </c>
      <c r="V542" s="306">
        <f t="shared" ca="1" si="235"/>
        <v>1.2260438790910562</v>
      </c>
      <c r="W542" s="304">
        <f t="shared" ca="1" si="236"/>
        <v>57.918614166936038</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2.0247259886062983</v>
      </c>
      <c r="AH542" s="304">
        <f t="shared" ca="1" si="260"/>
        <v>-7.7430951327857871</v>
      </c>
    </row>
    <row r="543" spans="1:34" x14ac:dyDescent="0.2">
      <c r="A543" s="347">
        <f t="shared" ca="1" si="238"/>
        <v>1E-4</v>
      </c>
      <c r="B543" s="304">
        <f t="shared" ca="1" si="239"/>
        <v>34.701200000000263</v>
      </c>
      <c r="D543" s="306">
        <f t="shared" ca="1" si="240"/>
        <v>-0.7172553112570591</v>
      </c>
      <c r="E543" s="307">
        <f t="shared" ca="1" si="241"/>
        <v>-2.1001614366084436</v>
      </c>
      <c r="F543" s="304">
        <f t="shared" ca="1" si="242"/>
        <v>2.2192641215825804</v>
      </c>
      <c r="G543" s="306">
        <f t="shared" ca="1" si="243"/>
        <v>11.303487346594926</v>
      </c>
      <c r="H543" s="307">
        <f t="shared" ca="1" si="244"/>
        <v>-121.50313131918074</v>
      </c>
      <c r="I543" s="304">
        <f t="shared" ca="1" si="245"/>
        <v>122.027782683128</v>
      </c>
      <c r="J543" s="306">
        <f t="shared" ca="1" si="246"/>
        <v>786.02923903053897</v>
      </c>
      <c r="K543" s="307">
        <f t="shared" ca="1" si="247"/>
        <v>-8.5299830510450647</v>
      </c>
      <c r="L543" s="304">
        <f t="shared" ca="1" si="232"/>
        <v>786.07552132207968</v>
      </c>
      <c r="M543" s="306">
        <f t="shared" ca="1" si="248"/>
        <v>-1.4780329038169524</v>
      </c>
      <c r="N543" s="304">
        <f t="shared" ca="1" si="249"/>
        <v>-84.685047370176918</v>
      </c>
      <c r="P543" s="310">
        <f t="shared" ca="1" si="250"/>
        <v>23</v>
      </c>
      <c r="Q543" s="304">
        <f t="shared" ca="1" si="251"/>
        <v>0</v>
      </c>
      <c r="R543" s="306">
        <f t="shared" ca="1" si="252"/>
        <v>0</v>
      </c>
      <c r="S543" s="307">
        <f t="shared" ca="1" si="253"/>
        <v>7.4799999999999969</v>
      </c>
      <c r="T543" s="304">
        <f t="shared" ca="1" si="233"/>
        <v>73.37879999999997</v>
      </c>
      <c r="U543" s="311">
        <f t="shared" ca="1" si="234"/>
        <v>0</v>
      </c>
      <c r="V543" s="306">
        <f t="shared" ca="1" si="235"/>
        <v>1.2260453687726487</v>
      </c>
      <c r="W543" s="304">
        <f t="shared" ca="1" si="236"/>
        <v>57.91887673835955</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2.0246915618760948</v>
      </c>
      <c r="AH543" s="304">
        <f t="shared" ca="1" si="260"/>
        <v>-7.7431302362213987</v>
      </c>
    </row>
    <row r="544" spans="1:34" x14ac:dyDescent="0.2">
      <c r="A544" s="347">
        <f t="shared" ca="1" si="238"/>
        <v>1E-4</v>
      </c>
      <c r="B544" s="304">
        <f t="shared" ca="1" si="239"/>
        <v>34.701300000000266</v>
      </c>
      <c r="D544" s="306">
        <f t="shared" ca="1" si="240"/>
        <v>-0.71725282154183789</v>
      </c>
      <c r="E544" s="307">
        <f t="shared" ca="1" si="241"/>
        <v>-2.1001259502799829</v>
      </c>
      <c r="F544" s="304">
        <f t="shared" ca="1" si="242"/>
        <v>2.2192297350768193</v>
      </c>
      <c r="G544" s="306">
        <f t="shared" ca="1" si="243"/>
        <v>11.303415621312771</v>
      </c>
      <c r="H544" s="307">
        <f t="shared" ca="1" si="244"/>
        <v>-121.50334133177577</v>
      </c>
      <c r="I544" s="304">
        <f t="shared" ca="1" si="245"/>
        <v>122.02798514887537</v>
      </c>
      <c r="J544" s="306">
        <f t="shared" ca="1" si="246"/>
        <v>786.02923903053897</v>
      </c>
      <c r="K544" s="307">
        <f t="shared" ca="1" si="247"/>
        <v>-8.5421333746776131</v>
      </c>
      <c r="L544" s="304">
        <f t="shared" ca="1" si="232"/>
        <v>786.0756532634241</v>
      </c>
      <c r="M544" s="306">
        <f t="shared" ca="1" si="248"/>
        <v>-1.4780336484859944</v>
      </c>
      <c r="N544" s="304">
        <f t="shared" ca="1" si="249"/>
        <v>-84.685090036570159</v>
      </c>
      <c r="P544" s="310">
        <f t="shared" ca="1" si="250"/>
        <v>23</v>
      </c>
      <c r="Q544" s="304">
        <f t="shared" ca="1" si="251"/>
        <v>0</v>
      </c>
      <c r="R544" s="306">
        <f t="shared" ca="1" si="252"/>
        <v>0</v>
      </c>
      <c r="S544" s="307">
        <f t="shared" ca="1" si="253"/>
        <v>7.4799999999999969</v>
      </c>
      <c r="T544" s="304">
        <f t="shared" ca="1" si="233"/>
        <v>73.37879999999997</v>
      </c>
      <c r="U544" s="311">
        <f t="shared" ca="1" si="234"/>
        <v>0</v>
      </c>
      <c r="V544" s="306">
        <f t="shared" ca="1" si="235"/>
        <v>1.226046858458627</v>
      </c>
      <c r="W544" s="304">
        <f t="shared" ca="1" si="236"/>
        <v>57.919139307508175</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2.0246571354380629</v>
      </c>
      <c r="AH544" s="304">
        <f t="shared" ca="1" si="260"/>
        <v>-7.7431653393528839</v>
      </c>
    </row>
    <row r="545" spans="1:34" x14ac:dyDescent="0.2">
      <c r="A545" s="347">
        <f t="shared" ca="1" si="238"/>
        <v>1E-4</v>
      </c>
      <c r="B545" s="304">
        <f t="shared" ca="1" si="239"/>
        <v>34.70140000000027</v>
      </c>
      <c r="D545" s="306">
        <f t="shared" ca="1" si="240"/>
        <v>-0.71725033180147379</v>
      </c>
      <c r="E545" s="307">
        <f t="shared" ca="1" si="241"/>
        <v>-2.1000904642589386</v>
      </c>
      <c r="F545" s="304">
        <f t="shared" ca="1" si="242"/>
        <v>2.2191953488912706</v>
      </c>
      <c r="G545" s="306">
        <f t="shared" ca="1" si="243"/>
        <v>11.303343896279591</v>
      </c>
      <c r="H545" s="307">
        <f t="shared" ca="1" si="244"/>
        <v>-121.5035513408222</v>
      </c>
      <c r="I545" s="304">
        <f t="shared" ca="1" si="245"/>
        <v>122.02818761118013</v>
      </c>
      <c r="J545" s="306">
        <f t="shared" ca="1" si="246"/>
        <v>786.02923903053897</v>
      </c>
      <c r="K545" s="307">
        <f t="shared" ca="1" si="247"/>
        <v>-8.5542837193112433</v>
      </c>
      <c r="L545" s="304">
        <f t="shared" ca="1" si="232"/>
        <v>786.07578539278177</v>
      </c>
      <c r="M545" s="306">
        <f t="shared" ca="1" si="248"/>
        <v>-1.4780343931478404</v>
      </c>
      <c r="N545" s="304">
        <f t="shared" ca="1" si="249"/>
        <v>-84.685132702551101</v>
      </c>
      <c r="P545" s="310">
        <f t="shared" ca="1" si="250"/>
        <v>23</v>
      </c>
      <c r="Q545" s="304">
        <f t="shared" ca="1" si="251"/>
        <v>0</v>
      </c>
      <c r="R545" s="306">
        <f t="shared" ca="1" si="252"/>
        <v>0</v>
      </c>
      <c r="S545" s="307">
        <f t="shared" ca="1" si="253"/>
        <v>7.4799999999999969</v>
      </c>
      <c r="T545" s="304">
        <f t="shared" ca="1" si="233"/>
        <v>73.37879999999997</v>
      </c>
      <c r="U545" s="311">
        <f t="shared" ca="1" si="234"/>
        <v>0</v>
      </c>
      <c r="V545" s="306">
        <f t="shared" ca="1" si="235"/>
        <v>1.2260483481489908</v>
      </c>
      <c r="W545" s="304">
        <f t="shared" ca="1" si="236"/>
        <v>57.91940187438189</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2.0246227092922027</v>
      </c>
      <c r="AH545" s="304">
        <f t="shared" ca="1" si="260"/>
        <v>-7.7432004421802407</v>
      </c>
    </row>
    <row r="546" spans="1:34" x14ac:dyDescent="0.2">
      <c r="A546" s="347">
        <f t="shared" ca="1" si="238"/>
        <v>1E-4</v>
      </c>
      <c r="B546" s="304">
        <f t="shared" ca="1" si="239"/>
        <v>34.701500000000273</v>
      </c>
      <c r="D546" s="306">
        <f t="shared" ca="1" si="240"/>
        <v>-0.71724784203596625</v>
      </c>
      <c r="E546" s="307">
        <f t="shared" ca="1" si="241"/>
        <v>-2.1000549785453142</v>
      </c>
      <c r="F546" s="304">
        <f t="shared" ca="1" si="242"/>
        <v>2.2191609630259386</v>
      </c>
      <c r="G546" s="306">
        <f t="shared" ca="1" si="243"/>
        <v>11.303272171495387</v>
      </c>
      <c r="H546" s="307">
        <f t="shared" ca="1" si="244"/>
        <v>-121.50376134632005</v>
      </c>
      <c r="I546" s="304">
        <f t="shared" ca="1" si="245"/>
        <v>122.02839007004231</v>
      </c>
      <c r="J546" s="306">
        <f t="shared" ca="1" si="246"/>
        <v>786.02923903053897</v>
      </c>
      <c r="K546" s="307">
        <f t="shared" ca="1" si="247"/>
        <v>-8.5664340849456</v>
      </c>
      <c r="L546" s="304">
        <f t="shared" ca="1" si="232"/>
        <v>786.07591771015336</v>
      </c>
      <c r="M546" s="306">
        <f t="shared" ca="1" si="248"/>
        <v>-1.4780351378024899</v>
      </c>
      <c r="N546" s="304">
        <f t="shared" ca="1" si="249"/>
        <v>-84.685175368119701</v>
      </c>
      <c r="P546" s="310">
        <f t="shared" ca="1" si="250"/>
        <v>23</v>
      </c>
      <c r="Q546" s="304">
        <f t="shared" ca="1" si="251"/>
        <v>0</v>
      </c>
      <c r="R546" s="306">
        <f t="shared" ca="1" si="252"/>
        <v>0</v>
      </c>
      <c r="S546" s="307">
        <f t="shared" ca="1" si="253"/>
        <v>7.4799999999999969</v>
      </c>
      <c r="T546" s="304">
        <f t="shared" ca="1" si="233"/>
        <v>73.37879999999997</v>
      </c>
      <c r="U546" s="311">
        <f t="shared" ca="1" si="234"/>
        <v>0</v>
      </c>
      <c r="V546" s="306">
        <f t="shared" ca="1" si="235"/>
        <v>1.2260498378437406</v>
      </c>
      <c r="W546" s="304">
        <f t="shared" ca="1" si="236"/>
        <v>57.919664438980753</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2.0245882834385185</v>
      </c>
      <c r="AH546" s="304">
        <f t="shared" ca="1" si="260"/>
        <v>-7.7432355447034649</v>
      </c>
    </row>
    <row r="547" spans="1:34" x14ac:dyDescent="0.2">
      <c r="A547" s="347">
        <f t="shared" ca="1" si="238"/>
        <v>1E-4</v>
      </c>
      <c r="B547" s="304">
        <f t="shared" ca="1" si="239"/>
        <v>34.701600000000276</v>
      </c>
      <c r="D547" s="306">
        <f t="shared" ca="1" si="240"/>
        <v>-0.71724535224532071</v>
      </c>
      <c r="E547" s="307">
        <f t="shared" ca="1" si="241"/>
        <v>-2.1000194931391007</v>
      </c>
      <c r="F547" s="304">
        <f t="shared" ca="1" si="242"/>
        <v>2.2191265774808158</v>
      </c>
      <c r="G547" s="306">
        <f t="shared" ca="1" si="243"/>
        <v>11.303200446960162</v>
      </c>
      <c r="H547" s="307">
        <f t="shared" ca="1" si="244"/>
        <v>-121.50397134826936</v>
      </c>
      <c r="I547" s="304">
        <f t="shared" ca="1" si="245"/>
        <v>122.02859252546193</v>
      </c>
      <c r="J547" s="306">
        <f t="shared" ca="1" si="246"/>
        <v>786.02923903053897</v>
      </c>
      <c r="K547" s="307">
        <f t="shared" ca="1" si="247"/>
        <v>-8.5785844715803297</v>
      </c>
      <c r="L547" s="304">
        <f t="shared" ca="1" si="232"/>
        <v>786.07605021554002</v>
      </c>
      <c r="M547" s="306">
        <f t="shared" ca="1" si="248"/>
        <v>-1.4780358824499433</v>
      </c>
      <c r="N547" s="304">
        <f t="shared" ca="1" si="249"/>
        <v>-84.685218033276016</v>
      </c>
      <c r="P547" s="310">
        <f t="shared" ca="1" si="250"/>
        <v>23</v>
      </c>
      <c r="Q547" s="304">
        <f t="shared" ca="1" si="251"/>
        <v>0</v>
      </c>
      <c r="R547" s="306">
        <f t="shared" ca="1" si="252"/>
        <v>0</v>
      </c>
      <c r="S547" s="307">
        <f t="shared" ca="1" si="253"/>
        <v>7.4799999999999969</v>
      </c>
      <c r="T547" s="304">
        <f t="shared" ca="1" si="233"/>
        <v>73.37879999999997</v>
      </c>
      <c r="U547" s="311">
        <f t="shared" ca="1" si="234"/>
        <v>0</v>
      </c>
      <c r="V547" s="306">
        <f t="shared" ca="1" si="235"/>
        <v>1.2260513275428753</v>
      </c>
      <c r="W547" s="304">
        <f t="shared" ca="1" si="236"/>
        <v>57.9199270013047</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2.0245538578770068</v>
      </c>
      <c r="AH547" s="304">
        <f t="shared" ca="1" si="260"/>
        <v>-7.7432706469225634</v>
      </c>
    </row>
    <row r="548" spans="1:34" x14ac:dyDescent="0.2">
      <c r="A548" s="347">
        <f t="shared" ca="1" si="238"/>
        <v>1E-4</v>
      </c>
      <c r="B548" s="304">
        <f t="shared" ca="1" si="239"/>
        <v>34.70170000000028</v>
      </c>
      <c r="D548" s="306">
        <f t="shared" ca="1" si="240"/>
        <v>-0.71724286242953461</v>
      </c>
      <c r="E548" s="307">
        <f t="shared" ca="1" si="241"/>
        <v>-2.0999840080403063</v>
      </c>
      <c r="F548" s="304">
        <f t="shared" ca="1" si="242"/>
        <v>2.2190921922559101</v>
      </c>
      <c r="G548" s="306">
        <f t="shared" ca="1" si="243"/>
        <v>11.303128722673918</v>
      </c>
      <c r="H548" s="307">
        <f t="shared" ca="1" si="244"/>
        <v>-121.50418134667017</v>
      </c>
      <c r="I548" s="304">
        <f t="shared" ca="1" si="245"/>
        <v>122.02879497743902</v>
      </c>
      <c r="J548" s="306">
        <f t="shared" ca="1" si="246"/>
        <v>786.02923903053897</v>
      </c>
      <c r="K548" s="307">
        <f t="shared" ca="1" si="247"/>
        <v>-8.5907348792150771</v>
      </c>
      <c r="L548" s="304">
        <f t="shared" ca="1" si="232"/>
        <v>786.07618290894243</v>
      </c>
      <c r="M548" s="306">
        <f t="shared" ca="1" si="248"/>
        <v>-1.478036627090201</v>
      </c>
      <c r="N548" s="304">
        <f t="shared" ca="1" si="249"/>
        <v>-84.685260698020031</v>
      </c>
      <c r="P548" s="310">
        <f t="shared" ca="1" si="250"/>
        <v>23</v>
      </c>
      <c r="Q548" s="304">
        <f t="shared" ca="1" si="251"/>
        <v>0</v>
      </c>
      <c r="R548" s="306">
        <f t="shared" ca="1" si="252"/>
        <v>0</v>
      </c>
      <c r="S548" s="307">
        <f t="shared" ca="1" si="253"/>
        <v>7.4799999999999969</v>
      </c>
      <c r="T548" s="304">
        <f t="shared" ca="1" si="233"/>
        <v>73.37879999999997</v>
      </c>
      <c r="U548" s="311">
        <f t="shared" ca="1" si="234"/>
        <v>0</v>
      </c>
      <c r="V548" s="306">
        <f t="shared" ca="1" si="235"/>
        <v>1.2260528172463958</v>
      </c>
      <c r="W548" s="304">
        <f t="shared" ca="1" si="236"/>
        <v>57.92018956135378</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2.0245194326076685</v>
      </c>
      <c r="AH548" s="304">
        <f t="shared" ca="1" si="260"/>
        <v>-7.7433057488375301</v>
      </c>
    </row>
    <row r="549" spans="1:34" x14ac:dyDescent="0.2">
      <c r="A549" s="347">
        <f t="shared" ca="1" si="238"/>
        <v>1E-4</v>
      </c>
      <c r="B549" s="304">
        <f t="shared" ca="1" si="239"/>
        <v>34.701800000000283</v>
      </c>
      <c r="D549" s="306">
        <f t="shared" ca="1" si="240"/>
        <v>-0.71724037258860818</v>
      </c>
      <c r="E549" s="307">
        <f t="shared" ca="1" si="241"/>
        <v>-2.0999485232489254</v>
      </c>
      <c r="F549" s="304">
        <f t="shared" ca="1" si="242"/>
        <v>2.2190578073512164</v>
      </c>
      <c r="G549" s="306">
        <f t="shared" ca="1" si="243"/>
        <v>11.303056998636659</v>
      </c>
      <c r="H549" s="307">
        <f t="shared" ca="1" si="244"/>
        <v>-121.50439134152249</v>
      </c>
      <c r="I549" s="304">
        <f t="shared" ca="1" si="245"/>
        <v>122.02899742597361</v>
      </c>
      <c r="J549" s="306">
        <f t="shared" ca="1" si="246"/>
        <v>786.02923903053897</v>
      </c>
      <c r="K549" s="307">
        <f t="shared" ca="1" si="247"/>
        <v>-8.6028853078494869</v>
      </c>
      <c r="L549" s="304">
        <f t="shared" ca="1" si="232"/>
        <v>786.0763157903616</v>
      </c>
      <c r="M549" s="306">
        <f t="shared" ca="1" si="248"/>
        <v>-1.4780373717232627</v>
      </c>
      <c r="N549" s="304">
        <f t="shared" ca="1" si="249"/>
        <v>-84.68530336235176</v>
      </c>
      <c r="P549" s="310">
        <f t="shared" ca="1" si="250"/>
        <v>23</v>
      </c>
      <c r="Q549" s="304">
        <f t="shared" ca="1" si="251"/>
        <v>0</v>
      </c>
      <c r="R549" s="306">
        <f t="shared" ca="1" si="252"/>
        <v>0</v>
      </c>
      <c r="S549" s="307">
        <f t="shared" ca="1" si="253"/>
        <v>7.4799999999999969</v>
      </c>
      <c r="T549" s="304">
        <f t="shared" ca="1" si="233"/>
        <v>73.37879999999997</v>
      </c>
      <c r="U549" s="311">
        <f t="shared" ca="1" si="234"/>
        <v>0</v>
      </c>
      <c r="V549" s="306">
        <f t="shared" ca="1" si="235"/>
        <v>1.226054306954302</v>
      </c>
      <c r="W549" s="304">
        <f t="shared" ca="1" si="236"/>
        <v>57.920452119127972</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2.0244850076305045</v>
      </c>
      <c r="AH549" s="304">
        <f t="shared" ca="1" si="260"/>
        <v>-7.7433408504483694</v>
      </c>
    </row>
    <row r="550" spans="1:34" x14ac:dyDescent="0.2">
      <c r="A550" s="347">
        <f t="shared" ca="1" si="238"/>
        <v>1E-4</v>
      </c>
      <c r="B550" s="304">
        <f t="shared" ca="1" si="239"/>
        <v>34.701900000000286</v>
      </c>
      <c r="D550" s="306">
        <f t="shared" ca="1" si="240"/>
        <v>-0.71723788272254418</v>
      </c>
      <c r="E550" s="307">
        <f t="shared" ca="1" si="241"/>
        <v>-2.0999130387649609</v>
      </c>
      <c r="F550" s="304">
        <f t="shared" ca="1" si="242"/>
        <v>2.219023422766738</v>
      </c>
      <c r="G550" s="306">
        <f t="shared" ca="1" si="243"/>
        <v>11.302985274848387</v>
      </c>
      <c r="H550" s="307">
        <f t="shared" ca="1" si="244"/>
        <v>-121.50460133282637</v>
      </c>
      <c r="I550" s="304">
        <f t="shared" ca="1" si="245"/>
        <v>122.02919987106574</v>
      </c>
      <c r="J550" s="306">
        <f t="shared" ca="1" si="246"/>
        <v>786.02923903053897</v>
      </c>
      <c r="K550" s="307">
        <f t="shared" ca="1" si="247"/>
        <v>-8.6150357574832039</v>
      </c>
      <c r="L550" s="304">
        <f t="shared" ca="1" si="232"/>
        <v>786.07644885979812</v>
      </c>
      <c r="M550" s="306">
        <f t="shared" ca="1" si="248"/>
        <v>-1.4780381163491287</v>
      </c>
      <c r="N550" s="304">
        <f t="shared" ca="1" si="249"/>
        <v>-84.685346026271191</v>
      </c>
      <c r="P550" s="310">
        <f t="shared" ca="1" si="250"/>
        <v>23</v>
      </c>
      <c r="Q550" s="304">
        <f t="shared" ca="1" si="251"/>
        <v>0</v>
      </c>
      <c r="R550" s="306">
        <f t="shared" ca="1" si="252"/>
        <v>0</v>
      </c>
      <c r="S550" s="307">
        <f t="shared" ca="1" si="253"/>
        <v>7.4799999999999969</v>
      </c>
      <c r="T550" s="304">
        <f t="shared" ca="1" si="233"/>
        <v>73.37879999999997</v>
      </c>
      <c r="U550" s="311">
        <f t="shared" ca="1" si="234"/>
        <v>0</v>
      </c>
      <c r="V550" s="306">
        <f t="shared" ca="1" si="235"/>
        <v>1.2260557966665937</v>
      </c>
      <c r="W550" s="304">
        <f t="shared" ca="1" si="236"/>
        <v>57.920714674627305</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2.0244505829455148</v>
      </c>
      <c r="AH550" s="304">
        <f t="shared" ca="1" si="260"/>
        <v>-7.7433759517550795</v>
      </c>
    </row>
    <row r="551" spans="1:34" x14ac:dyDescent="0.2">
      <c r="A551" s="347">
        <f t="shared" ca="1" si="238"/>
        <v>1E-4</v>
      </c>
      <c r="B551" s="304">
        <f t="shared" ca="1" si="239"/>
        <v>34.70200000000029</v>
      </c>
      <c r="D551" s="306">
        <f t="shared" ca="1" si="240"/>
        <v>-0.71723539283134119</v>
      </c>
      <c r="E551" s="307">
        <f t="shared" ca="1" si="241"/>
        <v>-2.0998775545884092</v>
      </c>
      <c r="F551" s="304">
        <f t="shared" ca="1" si="242"/>
        <v>2.218989038502472</v>
      </c>
      <c r="G551" s="306">
        <f t="shared" ca="1" si="243"/>
        <v>11.302913551309103</v>
      </c>
      <c r="H551" s="307">
        <f t="shared" ca="1" si="244"/>
        <v>-121.50481132058182</v>
      </c>
      <c r="I551" s="304">
        <f t="shared" ca="1" si="245"/>
        <v>122.02940231271542</v>
      </c>
      <c r="J551" s="306">
        <f t="shared" ca="1" si="246"/>
        <v>786.02923903053897</v>
      </c>
      <c r="K551" s="307">
        <f t="shared" ca="1" si="247"/>
        <v>-8.6271862281158747</v>
      </c>
      <c r="L551" s="304">
        <f t="shared" ca="1" si="232"/>
        <v>786.07658211725322</v>
      </c>
      <c r="M551" s="306">
        <f t="shared" ca="1" si="248"/>
        <v>-1.478038860967799</v>
      </c>
      <c r="N551" s="304">
        <f t="shared" ca="1" si="249"/>
        <v>-84.68538868977835</v>
      </c>
      <c r="P551" s="310">
        <f t="shared" ca="1" si="250"/>
        <v>23</v>
      </c>
      <c r="Q551" s="304">
        <f t="shared" ca="1" si="251"/>
        <v>0</v>
      </c>
      <c r="R551" s="306">
        <f t="shared" ca="1" si="252"/>
        <v>0</v>
      </c>
      <c r="S551" s="307">
        <f t="shared" ca="1" si="253"/>
        <v>7.4799999999999969</v>
      </c>
      <c r="T551" s="304">
        <f t="shared" ca="1" si="233"/>
        <v>73.37879999999997</v>
      </c>
      <c r="U551" s="311">
        <f t="shared" ca="1" si="234"/>
        <v>0</v>
      </c>
      <c r="V551" s="306">
        <f t="shared" ca="1" si="235"/>
        <v>1.2260572863832708</v>
      </c>
      <c r="W551" s="304">
        <f t="shared" ca="1" si="236"/>
        <v>57.920977227851729</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2.0244161585526976</v>
      </c>
      <c r="AH551" s="304">
        <f t="shared" ca="1" si="260"/>
        <v>-7.7434110527576641</v>
      </c>
    </row>
    <row r="552" spans="1:34" x14ac:dyDescent="0.2">
      <c r="A552" s="347">
        <f t="shared" ca="1" si="238"/>
        <v>1E-4</v>
      </c>
      <c r="B552" s="304">
        <f t="shared" ca="1" si="239"/>
        <v>34.702100000000293</v>
      </c>
      <c r="D552" s="306">
        <f t="shared" ca="1" si="240"/>
        <v>-0.71723290291500164</v>
      </c>
      <c r="E552" s="307">
        <f t="shared" ca="1" si="241"/>
        <v>-2.0998420707192746</v>
      </c>
      <c r="F552" s="304">
        <f t="shared" ca="1" si="242"/>
        <v>2.2189546545584231</v>
      </c>
      <c r="G552" s="306">
        <f t="shared" ca="1" si="243"/>
        <v>11.302841828018812</v>
      </c>
      <c r="H552" s="307">
        <f t="shared" ca="1" si="244"/>
        <v>-121.5050213047889</v>
      </c>
      <c r="I552" s="304">
        <f t="shared" ca="1" si="245"/>
        <v>122.0296047509227</v>
      </c>
      <c r="J552" s="306">
        <f t="shared" ca="1" si="246"/>
        <v>786.02923903053897</v>
      </c>
      <c r="K552" s="307">
        <f t="shared" ca="1" si="247"/>
        <v>-8.6393367197471438</v>
      </c>
      <c r="L552" s="304">
        <f t="shared" ca="1" si="232"/>
        <v>786.0767155627276</v>
      </c>
      <c r="M552" s="306">
        <f t="shared" ca="1" si="248"/>
        <v>-1.4780396055792737</v>
      </c>
      <c r="N552" s="304">
        <f t="shared" ca="1" si="249"/>
        <v>-84.685431352873223</v>
      </c>
      <c r="P552" s="310">
        <f t="shared" ca="1" si="250"/>
        <v>23</v>
      </c>
      <c r="Q552" s="304">
        <f t="shared" ca="1" si="251"/>
        <v>0</v>
      </c>
      <c r="R552" s="306">
        <f t="shared" ca="1" si="252"/>
        <v>0</v>
      </c>
      <c r="S552" s="307">
        <f t="shared" ca="1" si="253"/>
        <v>7.4799999999999969</v>
      </c>
      <c r="T552" s="304">
        <f t="shared" ca="1" si="233"/>
        <v>73.37879999999997</v>
      </c>
      <c r="U552" s="311">
        <f t="shared" ca="1" si="234"/>
        <v>0</v>
      </c>
      <c r="V552" s="306">
        <f t="shared" ca="1" si="235"/>
        <v>1.2260587761043331</v>
      </c>
      <c r="W552" s="304">
        <f t="shared" ca="1" si="236"/>
        <v>57.921239778801294</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2.0243817344520574</v>
      </c>
      <c r="AH552" s="304">
        <f t="shared" ca="1" si="260"/>
        <v>-7.7434461534561168</v>
      </c>
    </row>
    <row r="553" spans="1:34" x14ac:dyDescent="0.2">
      <c r="A553" s="347">
        <f t="shared" ca="1" si="238"/>
        <v>1E-4</v>
      </c>
      <c r="B553" s="304">
        <f t="shared" ca="1" si="239"/>
        <v>34.702200000000296</v>
      </c>
      <c r="D553" s="306">
        <f t="shared" ca="1" si="240"/>
        <v>-0.71723041297352597</v>
      </c>
      <c r="E553" s="307">
        <f t="shared" ca="1" si="241"/>
        <v>-2.0998065871575537</v>
      </c>
      <c r="F553" s="304">
        <f t="shared" ca="1" si="242"/>
        <v>2.2189202709345888</v>
      </c>
      <c r="G553" s="306">
        <f t="shared" ca="1" si="243"/>
        <v>11.302770104977514</v>
      </c>
      <c r="H553" s="307">
        <f t="shared" ca="1" si="244"/>
        <v>-121.50523128544761</v>
      </c>
      <c r="I553" s="304">
        <f t="shared" ca="1" si="245"/>
        <v>122.02980718568759</v>
      </c>
      <c r="J553" s="306">
        <f t="shared" ca="1" si="246"/>
        <v>786.02923903053897</v>
      </c>
      <c r="K553" s="307">
        <f t="shared" ca="1" si="247"/>
        <v>-8.6514872323766561</v>
      </c>
      <c r="L553" s="304">
        <f t="shared" ca="1" si="232"/>
        <v>786.07684919622216</v>
      </c>
      <c r="M553" s="306">
        <f t="shared" ca="1" si="248"/>
        <v>-1.4780403501835531</v>
      </c>
      <c r="N553" s="304">
        <f t="shared" ca="1" si="249"/>
        <v>-84.68547401555584</v>
      </c>
      <c r="P553" s="310">
        <f t="shared" ca="1" si="250"/>
        <v>23</v>
      </c>
      <c r="Q553" s="304">
        <f t="shared" ca="1" si="251"/>
        <v>0</v>
      </c>
      <c r="R553" s="306">
        <f t="shared" ca="1" si="252"/>
        <v>0</v>
      </c>
      <c r="S553" s="307">
        <f t="shared" ca="1" si="253"/>
        <v>7.4799999999999969</v>
      </c>
      <c r="T553" s="304">
        <f t="shared" ca="1" si="233"/>
        <v>73.37879999999997</v>
      </c>
      <c r="U553" s="311">
        <f t="shared" ca="1" si="234"/>
        <v>0</v>
      </c>
      <c r="V553" s="306">
        <f t="shared" ca="1" si="235"/>
        <v>1.2260602658297806</v>
      </c>
      <c r="W553" s="304">
        <f t="shared" ca="1" si="236"/>
        <v>57.921502327475949</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2.0243473106435861</v>
      </c>
      <c r="AH553" s="304">
        <f t="shared" ca="1" si="260"/>
        <v>-7.7434812538504438</v>
      </c>
    </row>
    <row r="554" spans="1:34" x14ac:dyDescent="0.2">
      <c r="A554" s="347">
        <f t="shared" ca="1" si="238"/>
        <v>1E-4</v>
      </c>
      <c r="B554" s="304">
        <f t="shared" ca="1" si="239"/>
        <v>34.702300000000299</v>
      </c>
      <c r="D554" s="306">
        <f t="shared" ca="1" si="240"/>
        <v>-0.71722792300691318</v>
      </c>
      <c r="E554" s="307">
        <f t="shared" ca="1" si="241"/>
        <v>-2.0997711039032509</v>
      </c>
      <c r="F554" s="304">
        <f t="shared" ca="1" si="242"/>
        <v>2.2188858876309721</v>
      </c>
      <c r="G554" s="306">
        <f t="shared" ca="1" si="243"/>
        <v>11.302698382185213</v>
      </c>
      <c r="H554" s="307">
        <f t="shared" ca="1" si="244"/>
        <v>-121.50544126255799</v>
      </c>
      <c r="I554" s="304">
        <f t="shared" ca="1" si="245"/>
        <v>122.03000961701012</v>
      </c>
      <c r="J554" s="306">
        <f t="shared" ca="1" si="246"/>
        <v>786.02923903053897</v>
      </c>
      <c r="K554" s="307">
        <f t="shared" ca="1" si="247"/>
        <v>-8.6636377660040562</v>
      </c>
      <c r="L554" s="304">
        <f t="shared" ca="1" si="232"/>
        <v>786.07698301773769</v>
      </c>
      <c r="M554" s="306">
        <f t="shared" ca="1" si="248"/>
        <v>-1.4780410947806371</v>
      </c>
      <c r="N554" s="304">
        <f t="shared" ca="1" si="249"/>
        <v>-84.685516677826186</v>
      </c>
      <c r="P554" s="310">
        <f t="shared" ca="1" si="250"/>
        <v>23</v>
      </c>
      <c r="Q554" s="304">
        <f t="shared" ca="1" si="251"/>
        <v>0</v>
      </c>
      <c r="R554" s="306">
        <f t="shared" ca="1" si="252"/>
        <v>0</v>
      </c>
      <c r="S554" s="307">
        <f t="shared" ca="1" si="253"/>
        <v>7.4799999999999969</v>
      </c>
      <c r="T554" s="304">
        <f t="shared" ca="1" si="233"/>
        <v>73.37879999999997</v>
      </c>
      <c r="U554" s="311">
        <f t="shared" ca="1" si="234"/>
        <v>0</v>
      </c>
      <c r="V554" s="306">
        <f t="shared" ca="1" si="235"/>
        <v>1.2260617555596136</v>
      </c>
      <c r="W554" s="304">
        <f t="shared" ca="1" si="236"/>
        <v>57.921764873875738</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2.0243128871272944</v>
      </c>
      <c r="AH554" s="304">
        <f t="shared" ca="1" si="260"/>
        <v>-7.7435163539406382</v>
      </c>
    </row>
    <row r="555" spans="1:34" x14ac:dyDescent="0.2">
      <c r="A555" s="347">
        <f t="shared" ca="1" si="238"/>
        <v>1E-4</v>
      </c>
      <c r="B555" s="304">
        <f t="shared" ca="1" si="239"/>
        <v>34.702400000000303</v>
      </c>
      <c r="D555" s="306">
        <f t="shared" ca="1" si="240"/>
        <v>-0.71722543301516528</v>
      </c>
      <c r="E555" s="307">
        <f t="shared" ca="1" si="241"/>
        <v>-2.0997356209563618</v>
      </c>
      <c r="F555" s="304">
        <f t="shared" ca="1" si="242"/>
        <v>2.2188515046475712</v>
      </c>
      <c r="G555" s="306">
        <f t="shared" ca="1" si="243"/>
        <v>11.302626659641911</v>
      </c>
      <c r="H555" s="307">
        <f t="shared" ca="1" si="244"/>
        <v>-121.50565123612009</v>
      </c>
      <c r="I555" s="304">
        <f t="shared" ca="1" si="245"/>
        <v>122.03021204489033</v>
      </c>
      <c r="J555" s="306">
        <f t="shared" ca="1" si="246"/>
        <v>786.02923903053897</v>
      </c>
      <c r="K555" s="307">
        <f t="shared" ca="1" si="247"/>
        <v>-8.6757883206289907</v>
      </c>
      <c r="L555" s="304">
        <f t="shared" ca="1" si="232"/>
        <v>786.07711702727522</v>
      </c>
      <c r="M555" s="306">
        <f t="shared" ca="1" si="248"/>
        <v>-1.4780418393705259</v>
      </c>
      <c r="N555" s="304">
        <f t="shared" ca="1" si="249"/>
        <v>-84.685559339684289</v>
      </c>
      <c r="P555" s="310">
        <f t="shared" ca="1" si="250"/>
        <v>23</v>
      </c>
      <c r="Q555" s="304">
        <f t="shared" ca="1" si="251"/>
        <v>0</v>
      </c>
      <c r="R555" s="306">
        <f t="shared" ca="1" si="252"/>
        <v>0</v>
      </c>
      <c r="S555" s="307">
        <f t="shared" ca="1" si="253"/>
        <v>7.4799999999999969</v>
      </c>
      <c r="T555" s="304">
        <f t="shared" ca="1" si="233"/>
        <v>73.37879999999997</v>
      </c>
      <c r="U555" s="311">
        <f t="shared" ca="1" si="234"/>
        <v>0</v>
      </c>
      <c r="V555" s="306">
        <f t="shared" ca="1" si="235"/>
        <v>1.2260632452938325</v>
      </c>
      <c r="W555" s="304">
        <f t="shared" ca="1" si="236"/>
        <v>57.922027418000688</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2.0242784639031779</v>
      </c>
      <c r="AH555" s="304">
        <f t="shared" ca="1" si="260"/>
        <v>-7.7435514537267061</v>
      </c>
    </row>
    <row r="556" spans="1:34" x14ac:dyDescent="0.2">
      <c r="A556" s="347">
        <f t="shared" ca="1" si="238"/>
        <v>1E-4</v>
      </c>
      <c r="B556" s="304">
        <f t="shared" ca="1" si="239"/>
        <v>34.702500000000306</v>
      </c>
      <c r="D556" s="306">
        <f t="shared" ca="1" si="240"/>
        <v>-0.71722294299828238</v>
      </c>
      <c r="E556" s="307">
        <f t="shared" ca="1" si="241"/>
        <v>-2.0997001383168818</v>
      </c>
      <c r="F556" s="304">
        <f t="shared" ca="1" si="242"/>
        <v>2.2188171219843809</v>
      </c>
      <c r="G556" s="306">
        <f t="shared" ca="1" si="243"/>
        <v>11.302554937347612</v>
      </c>
      <c r="H556" s="307">
        <f t="shared" ca="1" si="244"/>
        <v>-121.50586120613391</v>
      </c>
      <c r="I556" s="304">
        <f t="shared" ca="1" si="245"/>
        <v>122.03041446932825</v>
      </c>
      <c r="J556" s="306">
        <f t="shared" ca="1" si="246"/>
        <v>786.02923903053897</v>
      </c>
      <c r="K556" s="307">
        <f t="shared" ca="1" si="247"/>
        <v>-8.6879388962511026</v>
      </c>
      <c r="L556" s="304">
        <f t="shared" ca="1" si="232"/>
        <v>786.07725122483555</v>
      </c>
      <c r="M556" s="306">
        <f t="shared" ca="1" si="248"/>
        <v>-1.4780425839532194</v>
      </c>
      <c r="N556" s="304">
        <f t="shared" ca="1" si="249"/>
        <v>-84.685602001130121</v>
      </c>
      <c r="P556" s="310">
        <f t="shared" ca="1" si="250"/>
        <v>23</v>
      </c>
      <c r="Q556" s="304">
        <f t="shared" ca="1" si="251"/>
        <v>0</v>
      </c>
      <c r="R556" s="306">
        <f t="shared" ca="1" si="252"/>
        <v>0</v>
      </c>
      <c r="S556" s="307">
        <f t="shared" ca="1" si="253"/>
        <v>7.4799999999999969</v>
      </c>
      <c r="T556" s="304">
        <f t="shared" ca="1" si="233"/>
        <v>73.37879999999997</v>
      </c>
      <c r="U556" s="311">
        <f t="shared" ca="1" si="234"/>
        <v>0</v>
      </c>
      <c r="V556" s="306">
        <f t="shared" ca="1" si="235"/>
        <v>1.2260647350324361</v>
      </c>
      <c r="W556" s="304">
        <f t="shared" ca="1" si="236"/>
        <v>57.92228995985073</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2.0242440409712295</v>
      </c>
      <c r="AH556" s="304">
        <f t="shared" ca="1" si="260"/>
        <v>-7.743586553208651</v>
      </c>
    </row>
    <row r="557" spans="1:34" x14ac:dyDescent="0.2">
      <c r="A557" s="347">
        <f t="shared" ca="1" si="238"/>
        <v>1E-4</v>
      </c>
      <c r="B557" s="304">
        <f t="shared" ca="1" si="239"/>
        <v>34.702600000000309</v>
      </c>
      <c r="D557" s="306">
        <f t="shared" ca="1" si="240"/>
        <v>-0.71722045295626657</v>
      </c>
      <c r="E557" s="307">
        <f t="shared" ca="1" si="241"/>
        <v>-2.0996646559848209</v>
      </c>
      <c r="F557" s="304">
        <f t="shared" ca="1" si="242"/>
        <v>2.2187827396414117</v>
      </c>
      <c r="G557" s="306">
        <f t="shared" ca="1" si="243"/>
        <v>11.302483215302317</v>
      </c>
      <c r="H557" s="307">
        <f t="shared" ca="1" si="244"/>
        <v>-121.50607117259952</v>
      </c>
      <c r="I557" s="304">
        <f t="shared" ca="1" si="245"/>
        <v>122.03061689032393</v>
      </c>
      <c r="J557" s="306">
        <f t="shared" ca="1" si="246"/>
        <v>786.02923903053897</v>
      </c>
      <c r="K557" s="307">
        <f t="shared" ca="1" si="247"/>
        <v>-8.7000894928700401</v>
      </c>
      <c r="L557" s="304">
        <f t="shared" ca="1" si="232"/>
        <v>786.07738561041947</v>
      </c>
      <c r="M557" s="306">
        <f t="shared" ca="1" si="248"/>
        <v>-1.478043328528718</v>
      </c>
      <c r="N557" s="304">
        <f t="shared" ca="1" si="249"/>
        <v>-84.685644662163725</v>
      </c>
      <c r="P557" s="310">
        <f t="shared" ca="1" si="250"/>
        <v>23</v>
      </c>
      <c r="Q557" s="304">
        <f t="shared" ca="1" si="251"/>
        <v>0</v>
      </c>
      <c r="R557" s="306">
        <f t="shared" ca="1" si="252"/>
        <v>0</v>
      </c>
      <c r="S557" s="307">
        <f t="shared" ca="1" si="253"/>
        <v>7.4799999999999969</v>
      </c>
      <c r="T557" s="304">
        <f t="shared" ca="1" si="233"/>
        <v>73.37879999999997</v>
      </c>
      <c r="U557" s="311">
        <f t="shared" ca="1" si="234"/>
        <v>0</v>
      </c>
      <c r="V557" s="306">
        <f t="shared" ca="1" si="235"/>
        <v>1.226066224775425</v>
      </c>
      <c r="W557" s="304">
        <f t="shared" ca="1" si="236"/>
        <v>57.922552499425933</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2.0242096183314615</v>
      </c>
      <c r="AH557" s="304">
        <f t="shared" ca="1" si="260"/>
        <v>-7.743621652386464</v>
      </c>
    </row>
    <row r="558" spans="1:34" x14ac:dyDescent="0.2">
      <c r="A558" s="347">
        <f t="shared" ca="1" si="238"/>
        <v>1E-4</v>
      </c>
      <c r="B558" s="304">
        <f t="shared" ca="1" si="239"/>
        <v>34.702700000000313</v>
      </c>
      <c r="D558" s="306">
        <f t="shared" ca="1" si="240"/>
        <v>-0.71721796288911699</v>
      </c>
      <c r="E558" s="307">
        <f t="shared" ca="1" si="241"/>
        <v>-2.0996291739601682</v>
      </c>
      <c r="F558" s="304">
        <f t="shared" ca="1" si="242"/>
        <v>2.2187483576186535</v>
      </c>
      <c r="G558" s="306">
        <f t="shared" ca="1" si="243"/>
        <v>11.302411493506028</v>
      </c>
      <c r="H558" s="307">
        <f t="shared" ca="1" si="244"/>
        <v>-121.50628113551691</v>
      </c>
      <c r="I558" s="304">
        <f t="shared" ca="1" si="245"/>
        <v>122.03081930787735</v>
      </c>
      <c r="J558" s="306">
        <f t="shared" ca="1" si="246"/>
        <v>786.02923903053897</v>
      </c>
      <c r="K558" s="307">
        <f t="shared" ca="1" si="247"/>
        <v>-8.7122401104854461</v>
      </c>
      <c r="L558" s="304">
        <f t="shared" ca="1" si="232"/>
        <v>786.077520184028</v>
      </c>
      <c r="M558" s="306">
        <f t="shared" ca="1" si="248"/>
        <v>-1.4780440730970217</v>
      </c>
      <c r="N558" s="304">
        <f t="shared" ca="1" si="249"/>
        <v>-84.685687322785085</v>
      </c>
      <c r="P558" s="310">
        <f t="shared" ca="1" si="250"/>
        <v>23</v>
      </c>
      <c r="Q558" s="304">
        <f t="shared" ca="1" si="251"/>
        <v>0</v>
      </c>
      <c r="R558" s="306">
        <f t="shared" ca="1" si="252"/>
        <v>0</v>
      </c>
      <c r="S558" s="307">
        <f t="shared" ca="1" si="253"/>
        <v>7.4799999999999969</v>
      </c>
      <c r="T558" s="304">
        <f t="shared" ca="1" si="233"/>
        <v>73.37879999999997</v>
      </c>
      <c r="U558" s="311">
        <f t="shared" ca="1" si="234"/>
        <v>0</v>
      </c>
      <c r="V558" s="306">
        <f t="shared" ca="1" si="235"/>
        <v>1.2260677145227992</v>
      </c>
      <c r="W558" s="304">
        <f t="shared" ca="1" si="236"/>
        <v>57.922815036726249</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2.0241751959838608</v>
      </c>
      <c r="AH558" s="304">
        <f t="shared" ca="1" si="260"/>
        <v>-7.7436567512601551</v>
      </c>
    </row>
    <row r="559" spans="1:34" x14ac:dyDescent="0.2">
      <c r="A559" s="347">
        <f t="shared" ca="1" si="238"/>
        <v>1E-4</v>
      </c>
      <c r="B559" s="304">
        <f t="shared" ca="1" si="239"/>
        <v>34.702800000000316</v>
      </c>
      <c r="D559" s="306">
        <f t="shared" ca="1" si="240"/>
        <v>-0.71721547279683451</v>
      </c>
      <c r="E559" s="307">
        <f t="shared" ca="1" si="241"/>
        <v>-2.0995936922429328</v>
      </c>
      <c r="F559" s="304">
        <f t="shared" ca="1" si="242"/>
        <v>2.2187139759161156</v>
      </c>
      <c r="G559" s="306">
        <f t="shared" ca="1" si="243"/>
        <v>11.302339771958749</v>
      </c>
      <c r="H559" s="307">
        <f t="shared" ca="1" si="244"/>
        <v>-121.50649109488614</v>
      </c>
      <c r="I559" s="304">
        <f t="shared" ca="1" si="245"/>
        <v>122.03102172198857</v>
      </c>
      <c r="J559" s="306">
        <f t="shared" ca="1" si="246"/>
        <v>786.02923903053897</v>
      </c>
      <c r="K559" s="307">
        <f t="shared" ca="1" si="247"/>
        <v>-8.7243907490969654</v>
      </c>
      <c r="L559" s="304">
        <f t="shared" ca="1" si="232"/>
        <v>786.07765494566195</v>
      </c>
      <c r="M559" s="306">
        <f t="shared" ca="1" si="248"/>
        <v>-1.4780448176581304</v>
      </c>
      <c r="N559" s="304">
        <f t="shared" ca="1" si="249"/>
        <v>-84.685729982994204</v>
      </c>
      <c r="P559" s="310">
        <f t="shared" ca="1" si="250"/>
        <v>23</v>
      </c>
      <c r="Q559" s="304">
        <f t="shared" ca="1" si="251"/>
        <v>0</v>
      </c>
      <c r="R559" s="306">
        <f t="shared" ca="1" si="252"/>
        <v>0</v>
      </c>
      <c r="S559" s="307">
        <f t="shared" ca="1" si="253"/>
        <v>7.4799999999999969</v>
      </c>
      <c r="T559" s="304">
        <f t="shared" ca="1" si="233"/>
        <v>73.37879999999997</v>
      </c>
      <c r="U559" s="311">
        <f t="shared" ca="1" si="234"/>
        <v>0</v>
      </c>
      <c r="V559" s="306">
        <f t="shared" ca="1" si="235"/>
        <v>1.2260692042745585</v>
      </c>
      <c r="W559" s="304">
        <f t="shared" ca="1" si="236"/>
        <v>57.923077571751683</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2.0241407739284387</v>
      </c>
      <c r="AH559" s="304">
        <f t="shared" ca="1" si="260"/>
        <v>-7.743691849829716</v>
      </c>
    </row>
    <row r="560" spans="1:34" x14ac:dyDescent="0.2">
      <c r="A560" s="347">
        <f t="shared" ca="1" si="238"/>
        <v>1E-4</v>
      </c>
      <c r="B560" s="304">
        <f t="shared" ca="1" si="239"/>
        <v>34.702900000000319</v>
      </c>
      <c r="D560" s="306">
        <f t="shared" ca="1" si="240"/>
        <v>-0.71721298267942024</v>
      </c>
      <c r="E560" s="307">
        <f t="shared" ca="1" si="241"/>
        <v>-2.0995582108331128</v>
      </c>
      <c r="F560" s="304">
        <f t="shared" ca="1" si="242"/>
        <v>2.2186795945337967</v>
      </c>
      <c r="G560" s="306">
        <f t="shared" ca="1" si="243"/>
        <v>11.302268050660482</v>
      </c>
      <c r="H560" s="307">
        <f t="shared" ca="1" si="244"/>
        <v>-121.50670105070722</v>
      </c>
      <c r="I560" s="304">
        <f t="shared" ca="1" si="245"/>
        <v>122.0312241326576</v>
      </c>
      <c r="J560" s="306">
        <f t="shared" ca="1" si="246"/>
        <v>786.02923903053897</v>
      </c>
      <c r="K560" s="307">
        <f t="shared" ca="1" si="247"/>
        <v>-8.7365414087042446</v>
      </c>
      <c r="L560" s="304">
        <f t="shared" ca="1" si="232"/>
        <v>786.0777898953221</v>
      </c>
      <c r="M560" s="306">
        <f t="shared" ca="1" si="248"/>
        <v>-1.4780455622120445</v>
      </c>
      <c r="N560" s="304">
        <f t="shared" ca="1" si="249"/>
        <v>-84.685772642791108</v>
      </c>
      <c r="P560" s="310">
        <f t="shared" ca="1" si="250"/>
        <v>23</v>
      </c>
      <c r="Q560" s="304">
        <f t="shared" ca="1" si="251"/>
        <v>0</v>
      </c>
      <c r="R560" s="306">
        <f t="shared" ca="1" si="252"/>
        <v>0</v>
      </c>
      <c r="S560" s="307">
        <f t="shared" ca="1" si="253"/>
        <v>7.4799999999999969</v>
      </c>
      <c r="T560" s="304">
        <f t="shared" ca="1" si="233"/>
        <v>73.37879999999997</v>
      </c>
      <c r="U560" s="311">
        <f t="shared" ca="1" si="234"/>
        <v>0</v>
      </c>
      <c r="V560" s="306">
        <f t="shared" ca="1" si="235"/>
        <v>1.2260706940307029</v>
      </c>
      <c r="W560" s="304">
        <f t="shared" ca="1" si="236"/>
        <v>57.923340104502245</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2.0241063521651945</v>
      </c>
      <c r="AH560" s="304">
        <f t="shared" ca="1" si="260"/>
        <v>-7.7437269480951478</v>
      </c>
    </row>
    <row r="561" spans="1:34" x14ac:dyDescent="0.2">
      <c r="A561" s="347">
        <f t="shared" ca="1" si="238"/>
        <v>1E-4</v>
      </c>
      <c r="B561" s="304">
        <f t="shared" ca="1" si="239"/>
        <v>34.703000000000323</v>
      </c>
      <c r="D561" s="306">
        <f t="shared" ca="1" si="240"/>
        <v>-0.71721049253687452</v>
      </c>
      <c r="E561" s="307">
        <f t="shared" ca="1" si="241"/>
        <v>-2.0995227297307055</v>
      </c>
      <c r="F561" s="304">
        <f t="shared" ca="1" si="242"/>
        <v>2.2186452134716941</v>
      </c>
      <c r="G561" s="306">
        <f t="shared" ca="1" si="243"/>
        <v>11.302196329611228</v>
      </c>
      <c r="H561" s="307">
        <f t="shared" ca="1" si="244"/>
        <v>-121.50691100298019</v>
      </c>
      <c r="I561" s="304">
        <f t="shared" ca="1" si="245"/>
        <v>122.03142653988449</v>
      </c>
      <c r="J561" s="306">
        <f t="shared" ca="1" si="246"/>
        <v>786.02923903053897</v>
      </c>
      <c r="K561" s="307">
        <f t="shared" ca="1" si="247"/>
        <v>-8.7486920893069282</v>
      </c>
      <c r="L561" s="304">
        <f t="shared" ca="1" si="232"/>
        <v>786.07792503300948</v>
      </c>
      <c r="M561" s="306">
        <f t="shared" ca="1" si="248"/>
        <v>-1.4780463067587639</v>
      </c>
      <c r="N561" s="304">
        <f t="shared" ca="1" si="249"/>
        <v>-84.685815302175783</v>
      </c>
      <c r="P561" s="310">
        <f t="shared" ca="1" si="250"/>
        <v>23</v>
      </c>
      <c r="Q561" s="304">
        <f t="shared" ca="1" si="251"/>
        <v>0</v>
      </c>
      <c r="R561" s="306">
        <f t="shared" ca="1" si="252"/>
        <v>0</v>
      </c>
      <c r="S561" s="307">
        <f t="shared" ca="1" si="253"/>
        <v>7.4799999999999969</v>
      </c>
      <c r="T561" s="304">
        <f t="shared" ca="1" si="233"/>
        <v>73.37879999999997</v>
      </c>
      <c r="U561" s="311">
        <f t="shared" ca="1" si="234"/>
        <v>0</v>
      </c>
      <c r="V561" s="306">
        <f t="shared" ca="1" si="235"/>
        <v>1.2260721837912327</v>
      </c>
      <c r="W561" s="304">
        <f t="shared" ca="1" si="236"/>
        <v>57.923602634977968</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2.0240719306941237</v>
      </c>
      <c r="AH561" s="304">
        <f t="shared" ca="1" si="260"/>
        <v>-7.7437620460564531</v>
      </c>
    </row>
    <row r="562" spans="1:34" x14ac:dyDescent="0.2">
      <c r="A562" s="347">
        <f t="shared" ca="1" si="238"/>
        <v>1E-4</v>
      </c>
      <c r="B562" s="304">
        <f t="shared" ca="1" si="239"/>
        <v>34.703100000000326</v>
      </c>
      <c r="D562" s="306">
        <f t="shared" ca="1" si="240"/>
        <v>-0.7172080023691989</v>
      </c>
      <c r="E562" s="307">
        <f t="shared" ca="1" si="241"/>
        <v>-2.0994872489357084</v>
      </c>
      <c r="F562" s="304">
        <f t="shared" ca="1" si="242"/>
        <v>2.2186108327298064</v>
      </c>
      <c r="G562" s="306">
        <f t="shared" ca="1" si="243"/>
        <v>11.30212460881099</v>
      </c>
      <c r="H562" s="307">
        <f t="shared" ca="1" si="244"/>
        <v>-121.50712095170508</v>
      </c>
      <c r="I562" s="304">
        <f t="shared" ca="1" si="245"/>
        <v>122.03162894366926</v>
      </c>
      <c r="J562" s="306">
        <f t="shared" ca="1" si="246"/>
        <v>786.02923903053897</v>
      </c>
      <c r="K562" s="307">
        <f t="shared" ca="1" si="247"/>
        <v>-8.7608427909046629</v>
      </c>
      <c r="L562" s="304">
        <f t="shared" ca="1" si="232"/>
        <v>786.07806035872488</v>
      </c>
      <c r="M562" s="306">
        <f t="shared" ca="1" si="248"/>
        <v>-1.4780470512982888</v>
      </c>
      <c r="N562" s="304">
        <f t="shared" ca="1" si="249"/>
        <v>-84.68585796114823</v>
      </c>
      <c r="P562" s="310">
        <f t="shared" ca="1" si="250"/>
        <v>23</v>
      </c>
      <c r="Q562" s="304">
        <f t="shared" ca="1" si="251"/>
        <v>0</v>
      </c>
      <c r="R562" s="306">
        <f t="shared" ca="1" si="252"/>
        <v>0</v>
      </c>
      <c r="S562" s="307">
        <f t="shared" ca="1" si="253"/>
        <v>7.4799999999999969</v>
      </c>
      <c r="T562" s="304">
        <f t="shared" ca="1" si="233"/>
        <v>73.37879999999997</v>
      </c>
      <c r="U562" s="311">
        <f t="shared" ca="1" si="234"/>
        <v>0</v>
      </c>
      <c r="V562" s="306">
        <f t="shared" ca="1" si="235"/>
        <v>1.2260736735561475</v>
      </c>
      <c r="W562" s="304">
        <f t="shared" ca="1" si="236"/>
        <v>57.92386516317881</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2.0240375095152228</v>
      </c>
      <c r="AH562" s="304">
        <f t="shared" ca="1" si="260"/>
        <v>-7.7437971437136355</v>
      </c>
    </row>
    <row r="563" spans="1:34" x14ac:dyDescent="0.2">
      <c r="A563" s="347">
        <f t="shared" ca="1" si="238"/>
        <v>1E-4</v>
      </c>
      <c r="B563" s="304">
        <f t="shared" ca="1" si="239"/>
        <v>34.703200000000329</v>
      </c>
      <c r="D563" s="306">
        <f t="shared" ca="1" si="240"/>
        <v>-0.7172055121763925</v>
      </c>
      <c r="E563" s="307">
        <f t="shared" ca="1" si="241"/>
        <v>-2.0994517684481266</v>
      </c>
      <c r="F563" s="304">
        <f t="shared" ca="1" si="242"/>
        <v>2.218576452308139</v>
      </c>
      <c r="G563" s="306">
        <f t="shared" ca="1" si="243"/>
        <v>11.302052888259773</v>
      </c>
      <c r="H563" s="307">
        <f t="shared" ca="1" si="244"/>
        <v>-121.50733089688192</v>
      </c>
      <c r="I563" s="304">
        <f t="shared" ca="1" si="245"/>
        <v>122.03183134401195</v>
      </c>
      <c r="J563" s="306">
        <f t="shared" ca="1" si="246"/>
        <v>786.02923903053897</v>
      </c>
      <c r="K563" s="307">
        <f t="shared" ca="1" si="247"/>
        <v>-8.7729935134970916</v>
      </c>
      <c r="L563" s="304">
        <f t="shared" ca="1" si="232"/>
        <v>786.07819587246922</v>
      </c>
      <c r="M563" s="306">
        <f t="shared" ca="1" si="248"/>
        <v>-1.4780477958306193</v>
      </c>
      <c r="N563" s="304">
        <f t="shared" ca="1" si="249"/>
        <v>-84.685900619708477</v>
      </c>
      <c r="P563" s="310">
        <f t="shared" ca="1" si="250"/>
        <v>23</v>
      </c>
      <c r="Q563" s="304">
        <f t="shared" ca="1" si="251"/>
        <v>0</v>
      </c>
      <c r="R563" s="306">
        <f t="shared" ca="1" si="252"/>
        <v>0</v>
      </c>
      <c r="S563" s="307">
        <f t="shared" ca="1" si="253"/>
        <v>7.4799999999999969</v>
      </c>
      <c r="T563" s="304">
        <f t="shared" ca="1" si="233"/>
        <v>73.37879999999997</v>
      </c>
      <c r="U563" s="311">
        <f t="shared" ca="1" si="234"/>
        <v>0</v>
      </c>
      <c r="V563" s="306">
        <f t="shared" ca="1" si="235"/>
        <v>1.2260751633254474</v>
      </c>
      <c r="W563" s="304">
        <f t="shared" ca="1" si="236"/>
        <v>57.924127689104793</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2.0240030886285014</v>
      </c>
      <c r="AH563" s="304">
        <f t="shared" ca="1" si="260"/>
        <v>-7.7438322410666887</v>
      </c>
    </row>
    <row r="564" spans="1:34" x14ac:dyDescent="0.2">
      <c r="A564" s="347">
        <f t="shared" ca="1" si="238"/>
        <v>1E-4</v>
      </c>
      <c r="B564" s="304">
        <f t="shared" ca="1" si="239"/>
        <v>34.703300000000333</v>
      </c>
      <c r="D564" s="306">
        <f t="shared" ca="1" si="240"/>
        <v>-0.71720302195845742</v>
      </c>
      <c r="E564" s="307">
        <f t="shared" ca="1" si="241"/>
        <v>-2.0994162882679559</v>
      </c>
      <c r="F564" s="304">
        <f t="shared" ca="1" si="242"/>
        <v>2.218542072206688</v>
      </c>
      <c r="G564" s="306">
        <f t="shared" ca="1" si="243"/>
        <v>11.301981167957576</v>
      </c>
      <c r="H564" s="307">
        <f t="shared" ca="1" si="244"/>
        <v>-121.50754083851075</v>
      </c>
      <c r="I564" s="304">
        <f t="shared" ca="1" si="245"/>
        <v>122.03203374091258</v>
      </c>
      <c r="J564" s="306">
        <f t="shared" ca="1" si="246"/>
        <v>786.02923903053897</v>
      </c>
      <c r="K564" s="307">
        <f t="shared" ca="1" si="247"/>
        <v>-8.7851442570838607</v>
      </c>
      <c r="L564" s="304">
        <f t="shared" ca="1" si="232"/>
        <v>786.07833157424329</v>
      </c>
      <c r="M564" s="306">
        <f t="shared" ca="1" si="248"/>
        <v>-1.4780485403557555</v>
      </c>
      <c r="N564" s="304">
        <f t="shared" ca="1" si="249"/>
        <v>-84.685943277856524</v>
      </c>
      <c r="P564" s="310">
        <f t="shared" ca="1" si="250"/>
        <v>23</v>
      </c>
      <c r="Q564" s="304">
        <f t="shared" ca="1" si="251"/>
        <v>0</v>
      </c>
      <c r="R564" s="306">
        <f t="shared" ca="1" si="252"/>
        <v>0</v>
      </c>
      <c r="S564" s="307">
        <f t="shared" ca="1" si="253"/>
        <v>7.4799999999999969</v>
      </c>
      <c r="T564" s="304">
        <f t="shared" ca="1" si="233"/>
        <v>73.37879999999997</v>
      </c>
      <c r="U564" s="311">
        <f t="shared" ca="1" si="234"/>
        <v>0</v>
      </c>
      <c r="V564" s="306">
        <f t="shared" ca="1" si="235"/>
        <v>1.2260766530991323</v>
      </c>
      <c r="W564" s="304">
        <f t="shared" ca="1" si="236"/>
        <v>57.924390212755931</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2.0239686680339535</v>
      </c>
      <c r="AH564" s="304">
        <f t="shared" ca="1" si="260"/>
        <v>-7.7438673381156171</v>
      </c>
    </row>
    <row r="565" spans="1:34" x14ac:dyDescent="0.2">
      <c r="A565" s="347">
        <f t="shared" ca="1" si="238"/>
        <v>1E-4</v>
      </c>
      <c r="B565" s="304">
        <f t="shared" ca="1" si="239"/>
        <v>34.703400000000336</v>
      </c>
      <c r="D565" s="306">
        <f t="shared" ca="1" si="240"/>
        <v>-0.71720053171539333</v>
      </c>
      <c r="E565" s="307">
        <f t="shared" ca="1" si="241"/>
        <v>-2.0993808083951961</v>
      </c>
      <c r="F565" s="304">
        <f t="shared" ca="1" si="242"/>
        <v>2.2185076924254536</v>
      </c>
      <c r="G565" s="306">
        <f t="shared" ca="1" si="243"/>
        <v>11.301909447904405</v>
      </c>
      <c r="H565" s="307">
        <f t="shared" ca="1" si="244"/>
        <v>-121.50775077659159</v>
      </c>
      <c r="I565" s="304">
        <f t="shared" ca="1" si="245"/>
        <v>122.03223613437117</v>
      </c>
      <c r="J565" s="306">
        <f t="shared" ca="1" si="246"/>
        <v>786.02923903053897</v>
      </c>
      <c r="K565" s="307">
        <f t="shared" ca="1" si="247"/>
        <v>-8.7972950216646151</v>
      </c>
      <c r="L565" s="304">
        <f t="shared" ca="1" si="232"/>
        <v>786.07846746404812</v>
      </c>
      <c r="M565" s="306">
        <f t="shared" ca="1" si="248"/>
        <v>-1.4780492848736975</v>
      </c>
      <c r="N565" s="304">
        <f t="shared" ca="1" si="249"/>
        <v>-84.68598593559237</v>
      </c>
      <c r="P565" s="310">
        <f t="shared" ca="1" si="250"/>
        <v>23</v>
      </c>
      <c r="Q565" s="304">
        <f t="shared" ca="1" si="251"/>
        <v>0</v>
      </c>
      <c r="R565" s="306">
        <f t="shared" ca="1" si="252"/>
        <v>0</v>
      </c>
      <c r="S565" s="307">
        <f t="shared" ca="1" si="253"/>
        <v>7.4799999999999969</v>
      </c>
      <c r="T565" s="304">
        <f t="shared" ca="1" si="233"/>
        <v>73.37879999999997</v>
      </c>
      <c r="U565" s="311">
        <f t="shared" ca="1" si="234"/>
        <v>0</v>
      </c>
      <c r="V565" s="306">
        <f t="shared" ca="1" si="235"/>
        <v>1.2260781428772023</v>
      </c>
      <c r="W565" s="304">
        <f t="shared" ca="1" si="236"/>
        <v>57.924652734132188</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2.023934247731578</v>
      </c>
      <c r="AH565" s="304">
        <f t="shared" ca="1" si="260"/>
        <v>-7.7439024348604217</v>
      </c>
    </row>
    <row r="566" spans="1:34" x14ac:dyDescent="0.2">
      <c r="A566" s="347">
        <f t="shared" ca="1" si="238"/>
        <v>1E-4</v>
      </c>
      <c r="B566" s="304">
        <f t="shared" ca="1" si="239"/>
        <v>34.703500000000339</v>
      </c>
      <c r="D566" s="306">
        <f t="shared" ca="1" si="240"/>
        <v>-0.71719804144720112</v>
      </c>
      <c r="E566" s="307">
        <f t="shared" ca="1" si="241"/>
        <v>-2.0993453288298509</v>
      </c>
      <c r="F566" s="304">
        <f t="shared" ca="1" si="242"/>
        <v>2.2184733129644396</v>
      </c>
      <c r="G566" s="306">
        <f t="shared" ca="1" si="243"/>
        <v>11.30183772810026</v>
      </c>
      <c r="H566" s="307">
        <f t="shared" ca="1" si="244"/>
        <v>-121.50796071112447</v>
      </c>
      <c r="I566" s="304">
        <f t="shared" ca="1" si="245"/>
        <v>122.03243852438776</v>
      </c>
      <c r="J566" s="306">
        <f t="shared" ca="1" si="246"/>
        <v>786.02923903053897</v>
      </c>
      <c r="K566" s="307">
        <f t="shared" ca="1" si="247"/>
        <v>-8.8094458072390012</v>
      </c>
      <c r="L566" s="304">
        <f t="shared" ca="1" si="232"/>
        <v>786.07860354188426</v>
      </c>
      <c r="M566" s="306">
        <f t="shared" ca="1" si="248"/>
        <v>-1.4780500293844452</v>
      </c>
      <c r="N566" s="304">
        <f t="shared" ca="1" si="249"/>
        <v>-84.686028592916017</v>
      </c>
      <c r="P566" s="310">
        <f t="shared" ca="1" si="250"/>
        <v>23</v>
      </c>
      <c r="Q566" s="304">
        <f t="shared" ca="1" si="251"/>
        <v>0</v>
      </c>
      <c r="R566" s="306">
        <f t="shared" ca="1" si="252"/>
        <v>0</v>
      </c>
      <c r="S566" s="307">
        <f t="shared" ca="1" si="253"/>
        <v>7.4799999999999969</v>
      </c>
      <c r="T566" s="304">
        <f t="shared" ca="1" si="233"/>
        <v>73.37879999999997</v>
      </c>
      <c r="U566" s="311">
        <f t="shared" ca="1" si="234"/>
        <v>0</v>
      </c>
      <c r="V566" s="306">
        <f t="shared" ca="1" si="235"/>
        <v>1.226079632659657</v>
      </c>
      <c r="W566" s="304">
        <f t="shared" ca="1" si="236"/>
        <v>57.924915253233571</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2.0238998277213796</v>
      </c>
      <c r="AH566" s="304">
        <f t="shared" ca="1" si="260"/>
        <v>-7.7439375313010981</v>
      </c>
    </row>
    <row r="567" spans="1:34" x14ac:dyDescent="0.2">
      <c r="A567" s="347">
        <f t="shared" ca="1" si="238"/>
        <v>1E-4</v>
      </c>
      <c r="B567" s="304">
        <f t="shared" ca="1" si="239"/>
        <v>34.703600000000343</v>
      </c>
      <c r="D567" s="306">
        <f t="shared" ca="1" si="240"/>
        <v>-0.71719555115388245</v>
      </c>
      <c r="E567" s="307">
        <f t="shared" ca="1" si="241"/>
        <v>-2.0993098495719211</v>
      </c>
      <c r="F567" s="304">
        <f t="shared" ca="1" si="242"/>
        <v>2.2184389338236477</v>
      </c>
      <c r="G567" s="306">
        <f t="shared" ca="1" si="243"/>
        <v>11.301766008545144</v>
      </c>
      <c r="H567" s="307">
        <f t="shared" ca="1" si="244"/>
        <v>-121.50817064210942</v>
      </c>
      <c r="I567" s="304">
        <f t="shared" ca="1" si="245"/>
        <v>122.03264091096237</v>
      </c>
      <c r="J567" s="306">
        <f t="shared" ca="1" si="246"/>
        <v>786.02923903053897</v>
      </c>
      <c r="K567" s="307">
        <f t="shared" ca="1" si="247"/>
        <v>-8.8215966138066637</v>
      </c>
      <c r="L567" s="304">
        <f t="shared" ca="1" si="232"/>
        <v>786.07873980775298</v>
      </c>
      <c r="M567" s="306">
        <f t="shared" ca="1" si="248"/>
        <v>-1.4780507738879991</v>
      </c>
      <c r="N567" s="304">
        <f t="shared" ca="1" si="249"/>
        <v>-84.686071249827492</v>
      </c>
      <c r="P567" s="310">
        <f t="shared" ca="1" si="250"/>
        <v>23</v>
      </c>
      <c r="Q567" s="304">
        <f t="shared" ca="1" si="251"/>
        <v>0</v>
      </c>
      <c r="R567" s="306">
        <f t="shared" ca="1" si="252"/>
        <v>0</v>
      </c>
      <c r="S567" s="307">
        <f t="shared" ca="1" si="253"/>
        <v>7.4799999999999969</v>
      </c>
      <c r="T567" s="304">
        <f t="shared" ca="1" si="233"/>
        <v>73.37879999999997</v>
      </c>
      <c r="U567" s="311">
        <f t="shared" ca="1" si="234"/>
        <v>0</v>
      </c>
      <c r="V567" s="306">
        <f t="shared" ca="1" si="235"/>
        <v>1.2260811224464969</v>
      </c>
      <c r="W567" s="304">
        <f t="shared" ca="1" si="236"/>
        <v>57.925177770060124</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2.023865408003358</v>
      </c>
      <c r="AH567" s="304">
        <f t="shared" ca="1" si="260"/>
        <v>-7.7439726274376461</v>
      </c>
    </row>
    <row r="568" spans="1:34" x14ac:dyDescent="0.2">
      <c r="A568" s="347">
        <f t="shared" ca="1" si="238"/>
        <v>1E-4</v>
      </c>
      <c r="B568" s="304">
        <f t="shared" ca="1" si="239"/>
        <v>34.703700000000346</v>
      </c>
      <c r="D568" s="306">
        <f t="shared" ca="1" si="240"/>
        <v>-0.71719306083543588</v>
      </c>
      <c r="E568" s="307">
        <f t="shared" ca="1" si="241"/>
        <v>-2.0992743706213988</v>
      </c>
      <c r="F568" s="304">
        <f t="shared" ca="1" si="242"/>
        <v>2.2184045550030707</v>
      </c>
      <c r="G568" s="306">
        <f t="shared" ca="1" si="243"/>
        <v>11.301694289239061</v>
      </c>
      <c r="H568" s="307">
        <f t="shared" ca="1" si="244"/>
        <v>-121.50838056954647</v>
      </c>
      <c r="I568" s="304">
        <f t="shared" ca="1" si="245"/>
        <v>122.03284329409504</v>
      </c>
      <c r="J568" s="306">
        <f t="shared" ca="1" si="246"/>
        <v>786.02923903053897</v>
      </c>
      <c r="K568" s="307">
        <f t="shared" ca="1" si="247"/>
        <v>-8.8337474413672457</v>
      </c>
      <c r="L568" s="304">
        <f t="shared" ca="1" si="232"/>
        <v>786.07887626165484</v>
      </c>
      <c r="M568" s="306">
        <f t="shared" ca="1" si="248"/>
        <v>-1.478051518384359</v>
      </c>
      <c r="N568" s="304">
        <f t="shared" ca="1" si="249"/>
        <v>-84.686113906326781</v>
      </c>
      <c r="P568" s="310">
        <f t="shared" ca="1" si="250"/>
        <v>23</v>
      </c>
      <c r="Q568" s="304">
        <f t="shared" ca="1" si="251"/>
        <v>0</v>
      </c>
      <c r="R568" s="306">
        <f t="shared" ca="1" si="252"/>
        <v>0</v>
      </c>
      <c r="S568" s="307">
        <f t="shared" ca="1" si="253"/>
        <v>7.4799999999999969</v>
      </c>
      <c r="T568" s="304">
        <f t="shared" ca="1" si="233"/>
        <v>73.37879999999997</v>
      </c>
      <c r="U568" s="311">
        <f t="shared" ca="1" si="234"/>
        <v>0</v>
      </c>
      <c r="V568" s="306">
        <f t="shared" ca="1" si="235"/>
        <v>1.2260826122377217</v>
      </c>
      <c r="W568" s="304">
        <f t="shared" ca="1" si="236"/>
        <v>57.92544028461181</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2.0238309885775099</v>
      </c>
      <c r="AH568" s="304">
        <f t="shared" ca="1" si="260"/>
        <v>-7.744007723270073</v>
      </c>
    </row>
    <row r="569" spans="1:34" x14ac:dyDescent="0.2">
      <c r="A569" s="347">
        <f t="shared" ca="1" si="238"/>
        <v>1E-4</v>
      </c>
      <c r="B569" s="304">
        <f t="shared" ca="1" si="239"/>
        <v>34.703800000000349</v>
      </c>
      <c r="D569" s="306">
        <f t="shared" ca="1" si="240"/>
        <v>-0.71719057049186397</v>
      </c>
      <c r="E569" s="307">
        <f t="shared" ca="1" si="241"/>
        <v>-2.0992388919782892</v>
      </c>
      <c r="F569" s="304">
        <f t="shared" ca="1" si="242"/>
        <v>2.2183701765027135</v>
      </c>
      <c r="G569" s="306">
        <f t="shared" ca="1" si="243"/>
        <v>11.301622570182012</v>
      </c>
      <c r="H569" s="307">
        <f t="shared" ca="1" si="244"/>
        <v>-121.50859049343568</v>
      </c>
      <c r="I569" s="304">
        <f t="shared" ca="1" si="245"/>
        <v>122.03304567378581</v>
      </c>
      <c r="J569" s="306">
        <f t="shared" ca="1" si="246"/>
        <v>786.02923903053897</v>
      </c>
      <c r="K569" s="307">
        <f t="shared" ca="1" si="247"/>
        <v>-8.8458982899203953</v>
      </c>
      <c r="L569" s="304">
        <f t="shared" ca="1" si="232"/>
        <v>786.07901290359086</v>
      </c>
      <c r="M569" s="306">
        <f t="shared" ca="1" si="248"/>
        <v>-1.4780522628735251</v>
      </c>
      <c r="N569" s="304">
        <f t="shared" ca="1" si="249"/>
        <v>-84.686156562413885</v>
      </c>
      <c r="P569" s="310">
        <f t="shared" ca="1" si="250"/>
        <v>23</v>
      </c>
      <c r="Q569" s="304">
        <f t="shared" ca="1" si="251"/>
        <v>0</v>
      </c>
      <c r="R569" s="306">
        <f t="shared" ca="1" si="252"/>
        <v>0</v>
      </c>
      <c r="S569" s="307">
        <f t="shared" ca="1" si="253"/>
        <v>7.4799999999999969</v>
      </c>
      <c r="T569" s="304">
        <f t="shared" ca="1" si="233"/>
        <v>73.37879999999997</v>
      </c>
      <c r="U569" s="311">
        <f t="shared" ca="1" si="234"/>
        <v>0</v>
      </c>
      <c r="V569" s="306">
        <f t="shared" ca="1" si="235"/>
        <v>1.2260841020333315</v>
      </c>
      <c r="W569" s="304">
        <f t="shared" ca="1" si="236"/>
        <v>57.925702796888636</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2.0237965694438369</v>
      </c>
      <c r="AH569" s="304">
        <f t="shared" ca="1" si="260"/>
        <v>-7.7440428187983734</v>
      </c>
    </row>
    <row r="570" spans="1:34" x14ac:dyDescent="0.2">
      <c r="A570" s="347">
        <f t="shared" ca="1" si="238"/>
        <v>1E-4</v>
      </c>
      <c r="B570" s="304">
        <f t="shared" ca="1" si="239"/>
        <v>34.703900000000353</v>
      </c>
      <c r="D570" s="306">
        <f t="shared" ca="1" si="240"/>
        <v>-0.71718808012316682</v>
      </c>
      <c r="E570" s="307">
        <f t="shared" ca="1" si="241"/>
        <v>-2.0992034136425923</v>
      </c>
      <c r="F570" s="304">
        <f t="shared" ca="1" si="242"/>
        <v>2.2183357983225771</v>
      </c>
      <c r="G570" s="306">
        <f t="shared" ca="1" si="243"/>
        <v>11.301550851374</v>
      </c>
      <c r="H570" s="307">
        <f t="shared" ca="1" si="244"/>
        <v>-121.50880041377704</v>
      </c>
      <c r="I570" s="304">
        <f t="shared" ca="1" si="245"/>
        <v>122.03324805003469</v>
      </c>
      <c r="J570" s="306">
        <f t="shared" ca="1" si="246"/>
        <v>786.02923903053897</v>
      </c>
      <c r="K570" s="307">
        <f t="shared" ca="1" si="247"/>
        <v>-8.8580491594657556</v>
      </c>
      <c r="L570" s="304">
        <f t="shared" ca="1" si="232"/>
        <v>786.07914973356196</v>
      </c>
      <c r="M570" s="306">
        <f t="shared" ca="1" si="248"/>
        <v>-1.4780530073554974</v>
      </c>
      <c r="N570" s="304">
        <f t="shared" ca="1" si="249"/>
        <v>-84.686199218088817</v>
      </c>
      <c r="P570" s="310">
        <f t="shared" ca="1" si="250"/>
        <v>23</v>
      </c>
      <c r="Q570" s="304">
        <f t="shared" ca="1" si="251"/>
        <v>0</v>
      </c>
      <c r="R570" s="306">
        <f t="shared" ca="1" si="252"/>
        <v>0</v>
      </c>
      <c r="S570" s="307">
        <f t="shared" ca="1" si="253"/>
        <v>7.4799999999999969</v>
      </c>
      <c r="T570" s="304">
        <f t="shared" ca="1" si="233"/>
        <v>73.37879999999997</v>
      </c>
      <c r="U570" s="311">
        <f t="shared" ca="1" si="234"/>
        <v>0</v>
      </c>
      <c r="V570" s="306">
        <f t="shared" ca="1" si="235"/>
        <v>1.226085591833326</v>
      </c>
      <c r="W570" s="304">
        <f t="shared" ca="1" si="236"/>
        <v>57.925965306890625</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2.02376215060234</v>
      </c>
      <c r="AH570" s="304">
        <f t="shared" ca="1" si="260"/>
        <v>-7.7440779140225482</v>
      </c>
    </row>
    <row r="571" spans="1:34" x14ac:dyDescent="0.2">
      <c r="A571" s="347">
        <f t="shared" ca="1" si="238"/>
        <v>1E-4</v>
      </c>
      <c r="B571" s="304">
        <f t="shared" ca="1" si="239"/>
        <v>34.704000000000356</v>
      </c>
      <c r="D571" s="306">
        <f t="shared" ca="1" si="240"/>
        <v>-0.71718558972934587</v>
      </c>
      <c r="E571" s="307">
        <f t="shared" ca="1" si="241"/>
        <v>-2.0991679356143038</v>
      </c>
      <c r="F571" s="304">
        <f t="shared" ca="1" si="242"/>
        <v>2.2183014204626583</v>
      </c>
      <c r="G571" s="306">
        <f t="shared" ca="1" si="243"/>
        <v>11.301479132815027</v>
      </c>
      <c r="H571" s="307">
        <f t="shared" ca="1" si="244"/>
        <v>-121.5090103305706</v>
      </c>
      <c r="I571" s="304">
        <f t="shared" ca="1" si="245"/>
        <v>122.03345042284171</v>
      </c>
      <c r="J571" s="306">
        <f t="shared" ca="1" si="246"/>
        <v>786.02923903053897</v>
      </c>
      <c r="K571" s="307">
        <f t="shared" ca="1" si="247"/>
        <v>-8.870200050002973</v>
      </c>
      <c r="L571" s="304">
        <f t="shared" ca="1" si="232"/>
        <v>786.07928675156893</v>
      </c>
      <c r="M571" s="306">
        <f t="shared" ca="1" si="248"/>
        <v>-1.4780537518302761</v>
      </c>
      <c r="N571" s="304">
        <f t="shared" ca="1" si="249"/>
        <v>-84.686241873351591</v>
      </c>
      <c r="P571" s="310">
        <f t="shared" ca="1" si="250"/>
        <v>23</v>
      </c>
      <c r="Q571" s="304">
        <f t="shared" ca="1" si="251"/>
        <v>0</v>
      </c>
      <c r="R571" s="306">
        <f t="shared" ca="1" si="252"/>
        <v>0</v>
      </c>
      <c r="S571" s="307">
        <f t="shared" ca="1" si="253"/>
        <v>7.4799999999999969</v>
      </c>
      <c r="T571" s="304">
        <f t="shared" ca="1" si="233"/>
        <v>73.37879999999997</v>
      </c>
      <c r="U571" s="311">
        <f t="shared" ca="1" si="234"/>
        <v>0</v>
      </c>
      <c r="V571" s="306">
        <f t="shared" ca="1" si="235"/>
        <v>1.2260870816377052</v>
      </c>
      <c r="W571" s="304">
        <f t="shared" ca="1" si="236"/>
        <v>57.926227814617739</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2.0237277320530165</v>
      </c>
      <c r="AH571" s="304">
        <f t="shared" ca="1" si="260"/>
        <v>-7.7441130089426</v>
      </c>
    </row>
    <row r="572" spans="1:34" x14ac:dyDescent="0.2">
      <c r="A572" s="347">
        <f t="shared" ca="1" si="238"/>
        <v>1E-4</v>
      </c>
      <c r="B572" s="304">
        <f t="shared" ca="1" si="239"/>
        <v>34.704100000000359</v>
      </c>
      <c r="D572" s="306">
        <f t="shared" ca="1" si="240"/>
        <v>-0.71718309931040047</v>
      </c>
      <c r="E572" s="307">
        <f t="shared" ca="1" si="241"/>
        <v>-2.0991324578934298</v>
      </c>
      <c r="F572" s="304">
        <f t="shared" ca="1" si="242"/>
        <v>2.2182670429229625</v>
      </c>
      <c r="G572" s="306">
        <f t="shared" ca="1" si="243"/>
        <v>11.301407414505096</v>
      </c>
      <c r="H572" s="307">
        <f t="shared" ca="1" si="244"/>
        <v>-121.50922024381639</v>
      </c>
      <c r="I572" s="304">
        <f t="shared" ca="1" si="245"/>
        <v>122.03365279220691</v>
      </c>
      <c r="J572" s="306">
        <f t="shared" ca="1" si="246"/>
        <v>786.02923903053897</v>
      </c>
      <c r="K572" s="307">
        <f t="shared" ca="1" si="247"/>
        <v>-8.8823509615316922</v>
      </c>
      <c r="L572" s="304">
        <f t="shared" ca="1" si="232"/>
        <v>786.07942395761256</v>
      </c>
      <c r="M572" s="306">
        <f t="shared" ca="1" si="248"/>
        <v>-1.4780544962978612</v>
      </c>
      <c r="N572" s="304">
        <f t="shared" ca="1" si="249"/>
        <v>-84.686284528202208</v>
      </c>
      <c r="P572" s="310">
        <f t="shared" ca="1" si="250"/>
        <v>23</v>
      </c>
      <c r="Q572" s="304">
        <f t="shared" ca="1" si="251"/>
        <v>0</v>
      </c>
      <c r="R572" s="306">
        <f t="shared" ca="1" si="252"/>
        <v>0</v>
      </c>
      <c r="S572" s="307">
        <f t="shared" ca="1" si="253"/>
        <v>7.4799999999999969</v>
      </c>
      <c r="T572" s="304">
        <f t="shared" ca="1" si="233"/>
        <v>73.37879999999997</v>
      </c>
      <c r="U572" s="311">
        <f t="shared" ca="1" si="234"/>
        <v>0</v>
      </c>
      <c r="V572" s="306">
        <f t="shared" ca="1" si="235"/>
        <v>1.2260885714464695</v>
      </c>
      <c r="W572" s="304">
        <f t="shared" ca="1" si="236"/>
        <v>57.92649032007003</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2.0236933137958708</v>
      </c>
      <c r="AH572" s="304">
        <f t="shared" ca="1" si="260"/>
        <v>-7.7441481035585245</v>
      </c>
    </row>
    <row r="573" spans="1:34" x14ac:dyDescent="0.2">
      <c r="A573" s="347">
        <f t="shared" ca="1" si="238"/>
        <v>1E-4</v>
      </c>
      <c r="B573" s="304">
        <f t="shared" ca="1" si="239"/>
        <v>34.704200000000363</v>
      </c>
      <c r="D573" s="306">
        <f t="shared" ca="1" si="240"/>
        <v>-0.71718060886633272</v>
      </c>
      <c r="E573" s="307">
        <f t="shared" ca="1" si="241"/>
        <v>-2.0990969804799642</v>
      </c>
      <c r="F573" s="304">
        <f t="shared" ca="1" si="242"/>
        <v>2.2182326657034843</v>
      </c>
      <c r="G573" s="306">
        <f t="shared" ca="1" si="243"/>
        <v>11.301335696444209</v>
      </c>
      <c r="H573" s="307">
        <f t="shared" ca="1" si="244"/>
        <v>-121.50943015351443</v>
      </c>
      <c r="I573" s="304">
        <f t="shared" ca="1" si="245"/>
        <v>122.03385515813031</v>
      </c>
      <c r="J573" s="306">
        <f t="shared" ca="1" si="246"/>
        <v>786.02923903053897</v>
      </c>
      <c r="K573" s="307">
        <f t="shared" ca="1" si="247"/>
        <v>-8.8945018940515581</v>
      </c>
      <c r="L573" s="304">
        <f t="shared" ca="1" si="232"/>
        <v>786.07956135169388</v>
      </c>
      <c r="M573" s="306">
        <f t="shared" ca="1" si="248"/>
        <v>-1.4780552407582532</v>
      </c>
      <c r="N573" s="304">
        <f t="shared" ca="1" si="249"/>
        <v>-84.686327182640682</v>
      </c>
      <c r="P573" s="310">
        <f t="shared" ca="1" si="250"/>
        <v>23</v>
      </c>
      <c r="Q573" s="304">
        <f t="shared" ca="1" si="251"/>
        <v>0</v>
      </c>
      <c r="R573" s="306">
        <f t="shared" ca="1" si="252"/>
        <v>0</v>
      </c>
      <c r="S573" s="307">
        <f t="shared" ca="1" si="253"/>
        <v>7.4799999999999969</v>
      </c>
      <c r="T573" s="304">
        <f t="shared" ca="1" si="233"/>
        <v>73.37879999999997</v>
      </c>
      <c r="U573" s="311">
        <f t="shared" ca="1" si="234"/>
        <v>0</v>
      </c>
      <c r="V573" s="306">
        <f t="shared" ca="1" si="235"/>
        <v>1.2260900612596182</v>
      </c>
      <c r="W573" s="304">
        <f t="shared" ca="1" si="236"/>
        <v>57.926752823247433</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2.0236588958309003</v>
      </c>
      <c r="AH573" s="304">
        <f t="shared" ca="1" si="260"/>
        <v>-7.7441831978703277</v>
      </c>
    </row>
    <row r="574" spans="1:34" x14ac:dyDescent="0.2">
      <c r="A574" s="347">
        <f t="shared" ca="1" si="238"/>
        <v>1E-4</v>
      </c>
      <c r="B574" s="304">
        <f t="shared" ca="1" si="239"/>
        <v>34.704300000000366</v>
      </c>
      <c r="D574" s="306">
        <f t="shared" ca="1" si="240"/>
        <v>-0.71717811839713996</v>
      </c>
      <c r="E574" s="307">
        <f t="shared" ca="1" si="241"/>
        <v>-2.0990615033739122</v>
      </c>
      <c r="F574" s="304">
        <f t="shared" ca="1" si="242"/>
        <v>2.2181982888042291</v>
      </c>
      <c r="G574" s="306">
        <f t="shared" ca="1" si="243"/>
        <v>11.301263978632369</v>
      </c>
      <c r="H574" s="307">
        <f t="shared" ca="1" si="244"/>
        <v>-121.50964005966476</v>
      </c>
      <c r="I574" s="304">
        <f t="shared" ca="1" si="245"/>
        <v>122.03405752061192</v>
      </c>
      <c r="J574" s="306">
        <f t="shared" ca="1" si="246"/>
        <v>786.02923903053897</v>
      </c>
      <c r="K574" s="307">
        <f t="shared" ca="1" si="247"/>
        <v>-8.9066528475622171</v>
      </c>
      <c r="L574" s="304">
        <f t="shared" ca="1" si="232"/>
        <v>786.07969893381369</v>
      </c>
      <c r="M574" s="306">
        <f t="shared" ca="1" si="248"/>
        <v>-1.4780559852114517</v>
      </c>
      <c r="N574" s="304">
        <f t="shared" ca="1" si="249"/>
        <v>-84.686369836666998</v>
      </c>
      <c r="P574" s="310">
        <f t="shared" ca="1" si="250"/>
        <v>23</v>
      </c>
      <c r="Q574" s="304">
        <f t="shared" ca="1" si="251"/>
        <v>0</v>
      </c>
      <c r="R574" s="306">
        <f t="shared" ca="1" si="252"/>
        <v>0</v>
      </c>
      <c r="S574" s="307">
        <f t="shared" ca="1" si="253"/>
        <v>7.4799999999999969</v>
      </c>
      <c r="T574" s="304">
        <f t="shared" ca="1" si="233"/>
        <v>73.37879999999997</v>
      </c>
      <c r="U574" s="311">
        <f t="shared" ca="1" si="234"/>
        <v>0</v>
      </c>
      <c r="V574" s="306">
        <f t="shared" ca="1" si="235"/>
        <v>1.2260915510771522</v>
      </c>
      <c r="W574" s="304">
        <f t="shared" ca="1" si="236"/>
        <v>57.927015324150013</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2.023624478158105</v>
      </c>
      <c r="AH574" s="304">
        <f t="shared" ca="1" si="260"/>
        <v>-7.7442182918780027</v>
      </c>
    </row>
    <row r="575" spans="1:34" x14ac:dyDescent="0.2">
      <c r="A575" s="347">
        <f t="shared" ca="1" si="238"/>
        <v>1E-4</v>
      </c>
      <c r="B575" s="304">
        <f t="shared" ca="1" si="239"/>
        <v>34.704400000000369</v>
      </c>
      <c r="D575" s="306">
        <f t="shared" ca="1" si="240"/>
        <v>-0.71717562790282763</v>
      </c>
      <c r="E575" s="307">
        <f t="shared" ca="1" si="241"/>
        <v>-2.0990260265752703</v>
      </c>
      <c r="F575" s="304">
        <f t="shared" ca="1" si="242"/>
        <v>2.218163912225195</v>
      </c>
      <c r="G575" s="306">
        <f t="shared" ca="1" si="243"/>
        <v>11.301192261069579</v>
      </c>
      <c r="H575" s="307">
        <f t="shared" ca="1" si="244"/>
        <v>-121.50984996226742</v>
      </c>
      <c r="I575" s="304">
        <f t="shared" ca="1" si="245"/>
        <v>122.03425987965183</v>
      </c>
      <c r="J575" s="306">
        <f t="shared" ca="1" si="246"/>
        <v>786.02923903053897</v>
      </c>
      <c r="K575" s="307">
        <f t="shared" ca="1" si="247"/>
        <v>-8.9188038220633139</v>
      </c>
      <c r="L575" s="304">
        <f t="shared" ca="1" si="232"/>
        <v>786.07983670397289</v>
      </c>
      <c r="M575" s="306">
        <f t="shared" ca="1" si="248"/>
        <v>-1.4780567296574569</v>
      </c>
      <c r="N575" s="304">
        <f t="shared" ca="1" si="249"/>
        <v>-84.686412490281185</v>
      </c>
      <c r="P575" s="310">
        <f t="shared" ca="1" si="250"/>
        <v>23</v>
      </c>
      <c r="Q575" s="304">
        <f t="shared" ca="1" si="251"/>
        <v>0</v>
      </c>
      <c r="R575" s="306">
        <f t="shared" ca="1" si="252"/>
        <v>0</v>
      </c>
      <c r="S575" s="307">
        <f t="shared" ca="1" si="253"/>
        <v>7.4799999999999969</v>
      </c>
      <c r="T575" s="304">
        <f t="shared" ca="1" si="233"/>
        <v>73.37879999999997</v>
      </c>
      <c r="U575" s="311">
        <f t="shared" ca="1" si="234"/>
        <v>0</v>
      </c>
      <c r="V575" s="306">
        <f t="shared" ca="1" si="235"/>
        <v>1.2260930408990702</v>
      </c>
      <c r="W575" s="304">
        <f t="shared" ca="1" si="236"/>
        <v>57.927277822777747</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2.0235900607774839</v>
      </c>
      <c r="AH575" s="304">
        <f t="shared" ca="1" si="260"/>
        <v>-7.7442533855815556</v>
      </c>
    </row>
    <row r="576" spans="1:34" x14ac:dyDescent="0.2">
      <c r="A576" s="347">
        <f t="shared" ca="1" si="238"/>
        <v>1E-4</v>
      </c>
      <c r="B576" s="304">
        <f t="shared" ca="1" si="239"/>
        <v>34.704500000000372</v>
      </c>
      <c r="D576" s="306">
        <f t="shared" ca="1" si="240"/>
        <v>-0.7171731373833935</v>
      </c>
      <c r="E576" s="307">
        <f t="shared" ca="1" si="241"/>
        <v>-2.0989905500840376</v>
      </c>
      <c r="F576" s="304">
        <f t="shared" ca="1" si="242"/>
        <v>2.2181295359663804</v>
      </c>
      <c r="G576" s="306">
        <f t="shared" ca="1" si="243"/>
        <v>11.30112054375584</v>
      </c>
      <c r="H576" s="307">
        <f t="shared" ca="1" si="244"/>
        <v>-121.51005986132243</v>
      </c>
      <c r="I576" s="304">
        <f t="shared" ca="1" si="245"/>
        <v>122.03446223525002</v>
      </c>
      <c r="J576" s="306">
        <f t="shared" ca="1" si="246"/>
        <v>786.02923903053897</v>
      </c>
      <c r="K576" s="307">
        <f t="shared" ca="1" si="247"/>
        <v>-8.9309548175544933</v>
      </c>
      <c r="L576" s="304">
        <f t="shared" ca="1" si="232"/>
        <v>786.07997466217228</v>
      </c>
      <c r="M576" s="306">
        <f t="shared" ca="1" si="248"/>
        <v>-1.4780574740962693</v>
      </c>
      <c r="N576" s="304">
        <f t="shared" ca="1" si="249"/>
        <v>-84.686455143483229</v>
      </c>
      <c r="P576" s="310">
        <f t="shared" ca="1" si="250"/>
        <v>23</v>
      </c>
      <c r="Q576" s="304">
        <f t="shared" ca="1" si="251"/>
        <v>0</v>
      </c>
      <c r="R576" s="306">
        <f t="shared" ca="1" si="252"/>
        <v>0</v>
      </c>
      <c r="S576" s="307">
        <f t="shared" ca="1" si="253"/>
        <v>7.4799999999999969</v>
      </c>
      <c r="T576" s="304">
        <f t="shared" ca="1" si="233"/>
        <v>73.37879999999997</v>
      </c>
      <c r="U576" s="311">
        <f t="shared" ca="1" si="234"/>
        <v>0</v>
      </c>
      <c r="V576" s="306">
        <f t="shared" ca="1" si="235"/>
        <v>1.2260945307253732</v>
      </c>
      <c r="W576" s="304">
        <f t="shared" ca="1" si="236"/>
        <v>57.927540319130628</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2.0235556436890381</v>
      </c>
      <c r="AH576" s="304">
        <f t="shared" ca="1" si="260"/>
        <v>-7.7442884789809856</v>
      </c>
    </row>
    <row r="577" spans="1:34" x14ac:dyDescent="0.2">
      <c r="A577" s="347">
        <f t="shared" ca="1" si="238"/>
        <v>1E-4</v>
      </c>
      <c r="B577" s="304">
        <f t="shared" ca="1" si="239"/>
        <v>34.704600000000376</v>
      </c>
      <c r="D577" s="306">
        <f t="shared" ca="1" si="240"/>
        <v>-0.71717064683883736</v>
      </c>
      <c r="E577" s="307">
        <f t="shared" ca="1" si="241"/>
        <v>-2.098955073900215</v>
      </c>
      <c r="F577" s="304">
        <f t="shared" ca="1" si="242"/>
        <v>2.2180951600277869</v>
      </c>
      <c r="G577" s="306">
        <f t="shared" ca="1" si="243"/>
        <v>11.301048826691156</v>
      </c>
      <c r="H577" s="307">
        <f t="shared" ca="1" si="244"/>
        <v>-121.51026975682983</v>
      </c>
      <c r="I577" s="304">
        <f t="shared" ca="1" si="245"/>
        <v>122.03466458740652</v>
      </c>
      <c r="J577" s="306">
        <f t="shared" ca="1" si="246"/>
        <v>786.02923903053897</v>
      </c>
      <c r="K577" s="307">
        <f t="shared" ca="1" si="247"/>
        <v>-8.9431058340354017</v>
      </c>
      <c r="L577" s="304">
        <f t="shared" ca="1" si="232"/>
        <v>786.08011280841276</v>
      </c>
      <c r="M577" s="306">
        <f t="shared" ca="1" si="248"/>
        <v>-1.4780582185278885</v>
      </c>
      <c r="N577" s="304">
        <f t="shared" ca="1" si="249"/>
        <v>-84.686497796273144</v>
      </c>
      <c r="P577" s="310">
        <f t="shared" ca="1" si="250"/>
        <v>23</v>
      </c>
      <c r="Q577" s="304">
        <f t="shared" ca="1" si="251"/>
        <v>0</v>
      </c>
      <c r="R577" s="306">
        <f t="shared" ca="1" si="252"/>
        <v>0</v>
      </c>
      <c r="S577" s="307">
        <f t="shared" ca="1" si="253"/>
        <v>7.4799999999999969</v>
      </c>
      <c r="T577" s="304">
        <f t="shared" ca="1" si="233"/>
        <v>73.37879999999997</v>
      </c>
      <c r="U577" s="311">
        <f t="shared" ca="1" si="234"/>
        <v>0</v>
      </c>
      <c r="V577" s="306">
        <f t="shared" ca="1" si="235"/>
        <v>1.2260960205560607</v>
      </c>
      <c r="W577" s="304">
        <f t="shared" ca="1" si="236"/>
        <v>57.927802813208665</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2.0235212268927709</v>
      </c>
      <c r="AH577" s="304">
        <f t="shared" ca="1" si="260"/>
        <v>-7.7443235720762909</v>
      </c>
    </row>
    <row r="578" spans="1:34" x14ac:dyDescent="0.2">
      <c r="A578" s="347">
        <f t="shared" ca="1" si="238"/>
        <v>1E-4</v>
      </c>
      <c r="B578" s="304">
        <f t="shared" ca="1" si="239"/>
        <v>34.704700000000379</v>
      </c>
      <c r="D578" s="306">
        <f t="shared" ca="1" si="240"/>
        <v>-0.7171681562691623</v>
      </c>
      <c r="E578" s="307">
        <f t="shared" ca="1" si="241"/>
        <v>-2.0989195980238051</v>
      </c>
      <c r="F578" s="304">
        <f t="shared" ca="1" si="242"/>
        <v>2.2180607844094178</v>
      </c>
      <c r="G578" s="306">
        <f t="shared" ca="1" si="243"/>
        <v>11.300977109875529</v>
      </c>
      <c r="H578" s="307">
        <f t="shared" ca="1" si="244"/>
        <v>-121.51047964878963</v>
      </c>
      <c r="I578" s="304">
        <f t="shared" ca="1" si="245"/>
        <v>122.03486693612138</v>
      </c>
      <c r="J578" s="306">
        <f t="shared" ca="1" si="246"/>
        <v>786.02923903053897</v>
      </c>
      <c r="K578" s="307">
        <f t="shared" ca="1" si="247"/>
        <v>-8.9552568715056822</v>
      </c>
      <c r="L578" s="304">
        <f t="shared" ca="1" si="232"/>
        <v>786.08025114269526</v>
      </c>
      <c r="M578" s="306">
        <f t="shared" ca="1" si="248"/>
        <v>-1.4780589629523149</v>
      </c>
      <c r="N578" s="304">
        <f t="shared" ca="1" si="249"/>
        <v>-84.686540448650945</v>
      </c>
      <c r="P578" s="310">
        <f t="shared" ca="1" si="250"/>
        <v>23</v>
      </c>
      <c r="Q578" s="304">
        <f t="shared" ca="1" si="251"/>
        <v>0</v>
      </c>
      <c r="R578" s="306">
        <f t="shared" ca="1" si="252"/>
        <v>0</v>
      </c>
      <c r="S578" s="307">
        <f t="shared" ca="1" si="253"/>
        <v>7.4799999999999969</v>
      </c>
      <c r="T578" s="304">
        <f t="shared" ca="1" si="233"/>
        <v>73.37879999999997</v>
      </c>
      <c r="U578" s="311">
        <f t="shared" ca="1" si="234"/>
        <v>0</v>
      </c>
      <c r="V578" s="306">
        <f t="shared" ca="1" si="235"/>
        <v>1.2260975103911329</v>
      </c>
      <c r="W578" s="304">
        <f t="shared" ca="1" si="236"/>
        <v>57.928065305011849</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2.0234868103886789</v>
      </c>
      <c r="AH578" s="304">
        <f t="shared" ca="1" si="260"/>
        <v>-7.7443586648674714</v>
      </c>
    </row>
    <row r="579" spans="1:34" x14ac:dyDescent="0.2">
      <c r="A579" s="347">
        <f t="shared" ca="1" si="238"/>
        <v>1E-4</v>
      </c>
      <c r="B579" s="304">
        <f t="shared" ca="1" si="239"/>
        <v>34.704800000000382</v>
      </c>
      <c r="D579" s="306">
        <f t="shared" ca="1" si="240"/>
        <v>-0.71716566567436812</v>
      </c>
      <c r="E579" s="307">
        <f t="shared" ca="1" si="241"/>
        <v>-2.0988841224548045</v>
      </c>
      <c r="F579" s="304">
        <f t="shared" ca="1" si="242"/>
        <v>2.2180264091112698</v>
      </c>
      <c r="G579" s="306">
        <f t="shared" ca="1" si="243"/>
        <v>11.300905393308961</v>
      </c>
      <c r="H579" s="307">
        <f t="shared" ca="1" si="244"/>
        <v>-121.51068953720187</v>
      </c>
      <c r="I579" s="304">
        <f t="shared" ca="1" si="245"/>
        <v>122.0350692813946</v>
      </c>
      <c r="J579" s="306">
        <f t="shared" ca="1" si="246"/>
        <v>786.02923903053897</v>
      </c>
      <c r="K579" s="307">
        <f t="shared" ca="1" si="247"/>
        <v>-8.9674079299649812</v>
      </c>
      <c r="L579" s="304">
        <f t="shared" ca="1" si="232"/>
        <v>786.08038966502056</v>
      </c>
      <c r="M579" s="306">
        <f t="shared" ca="1" si="248"/>
        <v>-1.4780597073695483</v>
      </c>
      <c r="N579" s="304">
        <f t="shared" ca="1" si="249"/>
        <v>-84.686583100616616</v>
      </c>
      <c r="P579" s="310">
        <f t="shared" ca="1" si="250"/>
        <v>23</v>
      </c>
      <c r="Q579" s="304">
        <f t="shared" ca="1" si="251"/>
        <v>0</v>
      </c>
      <c r="R579" s="306">
        <f t="shared" ca="1" si="252"/>
        <v>0</v>
      </c>
      <c r="S579" s="307">
        <f t="shared" ca="1" si="253"/>
        <v>7.4799999999999969</v>
      </c>
      <c r="T579" s="304">
        <f t="shared" ca="1" si="233"/>
        <v>73.37879999999997</v>
      </c>
      <c r="U579" s="311">
        <f t="shared" ca="1" si="234"/>
        <v>0</v>
      </c>
      <c r="V579" s="306">
        <f t="shared" ca="1" si="235"/>
        <v>1.22609900023059</v>
      </c>
      <c r="W579" s="304">
        <f t="shared" ca="1" si="236"/>
        <v>57.928327794540209</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2.0234523941767613</v>
      </c>
      <c r="AH579" s="304">
        <f t="shared" ca="1" si="260"/>
        <v>-7.7443937573545281</v>
      </c>
    </row>
    <row r="580" spans="1:34" x14ac:dyDescent="0.2">
      <c r="A580" s="347">
        <f t="shared" ca="1" si="238"/>
        <v>1E-4</v>
      </c>
      <c r="B580" s="304">
        <f t="shared" ca="1" si="239"/>
        <v>34.704900000000386</v>
      </c>
      <c r="D580" s="306">
        <f t="shared" ca="1" si="240"/>
        <v>-0.71716317505445659</v>
      </c>
      <c r="E580" s="307">
        <f t="shared" ca="1" si="241"/>
        <v>-2.0988486471932104</v>
      </c>
      <c r="F580" s="304">
        <f t="shared" ca="1" si="242"/>
        <v>2.2179920341333417</v>
      </c>
      <c r="G580" s="306">
        <f t="shared" ca="1" si="243"/>
        <v>11.300833676991456</v>
      </c>
      <c r="H580" s="307">
        <f t="shared" ca="1" si="244"/>
        <v>-121.51089942206659</v>
      </c>
      <c r="I580" s="304">
        <f t="shared" ca="1" si="245"/>
        <v>122.03527162322622</v>
      </c>
      <c r="J580" s="306">
        <f t="shared" ca="1" si="246"/>
        <v>786.02923903053897</v>
      </c>
      <c r="K580" s="307">
        <f t="shared" ca="1" si="247"/>
        <v>-8.9795590094129452</v>
      </c>
      <c r="L580" s="304">
        <f t="shared" ref="L580:L643" ca="1" si="261">SQRT(pos_x^2+pos_z^2)</f>
        <v>786.08052837538958</v>
      </c>
      <c r="M580" s="306">
        <f t="shared" ca="1" si="248"/>
        <v>-1.4780604517795892</v>
      </c>
      <c r="N580" s="304">
        <f t="shared" ca="1" si="249"/>
        <v>-84.686625752170187</v>
      </c>
      <c r="P580" s="310">
        <f t="shared" ca="1" si="250"/>
        <v>23</v>
      </c>
      <c r="Q580" s="304">
        <f t="shared" ca="1" si="251"/>
        <v>0</v>
      </c>
      <c r="R580" s="306">
        <f t="shared" ca="1" si="252"/>
        <v>0</v>
      </c>
      <c r="S580" s="307">
        <f t="shared" ca="1" si="253"/>
        <v>7.4799999999999969</v>
      </c>
      <c r="T580" s="304">
        <f t="shared" ref="T580:T643" ca="1" si="262">m*g</f>
        <v>73.37879999999997</v>
      </c>
      <c r="U580" s="311">
        <f t="shared" ref="U580:U643" ca="1" si="263">IF(pos_xz&lt;L_rampe,Poids*COS(Beta),0)</f>
        <v>0</v>
      </c>
      <c r="V580" s="306">
        <f t="shared" ref="V580:V643" ca="1" si="264">Rho_moyen*(20000-Alt_rampe-pos_z)/(20000+Alt_rampe+pos_z)</f>
        <v>1.2261004900744314</v>
      </c>
      <c r="W580" s="304">
        <f t="shared" ref="W580:W643" ca="1" si="265">1/2*Rho*Sref*Cx*vit_xz^2</f>
        <v>57.92859028179371</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2.0234179782570196</v>
      </c>
      <c r="AH580" s="304">
        <f t="shared" ca="1" si="260"/>
        <v>-7.7444288495374645</v>
      </c>
    </row>
    <row r="581" spans="1:34" x14ac:dyDescent="0.2">
      <c r="A581" s="347">
        <f t="shared" ref="A581:A644" ca="1" si="267">IF(B580+0.01&lt;=T_ini+ROUNDUP(Temps_fin_propu,0), 0.01, IF(K580&gt;0, 0.1, 0.0001))</f>
        <v>1E-4</v>
      </c>
      <c r="B581" s="304">
        <f t="shared" ref="B581:B644" ca="1" si="268">B580+pas</f>
        <v>34.705000000000389</v>
      </c>
      <c r="D581" s="306">
        <f t="shared" ref="D581:D644" ca="1" si="269">IF(AND(L580&lt;L_rampe,Poussee&lt;Poids*SIN(M580)),0,(-W580+Poussee)/m*COS(M580)-U580/m*SIN(M580))</f>
        <v>-0.71716068440942493</v>
      </c>
      <c r="E581" s="307">
        <f t="shared" ref="E581:E644" ca="1" si="270">IF(AND(L580&lt;L_rampe,Poussee&lt;Poids*SIN(M580)),0,(-W580+Poussee)/m*SIN(M580)+U580/m*COS(M580)-Poids/m)</f>
        <v>-2.09881317223903</v>
      </c>
      <c r="F581" s="304">
        <f t="shared" ref="F581:F644" ca="1" si="271">SQRT(acc_x^2+acc_z^2)</f>
        <v>2.2179576594756387</v>
      </c>
      <c r="G581" s="306">
        <f t="shared" ref="G581:G644" ca="1" si="272">G580+acc_x*pas</f>
        <v>11.300761960923015</v>
      </c>
      <c r="H581" s="307">
        <f t="shared" ref="H581:H644" ca="1" si="273">H580+acc_z*pas</f>
        <v>-121.5111093033838</v>
      </c>
      <c r="I581" s="304">
        <f t="shared" ref="I581:I644" ca="1" si="274">SQRT(vit_x^2+vit_z^2)</f>
        <v>122.0354739616163</v>
      </c>
      <c r="J581" s="306">
        <f t="shared" ref="J581:J644" ca="1" si="275">J580+0.5*(vit_x+G580)*pas*(K580&gt;=0)</f>
        <v>786.02923903053897</v>
      </c>
      <c r="K581" s="307">
        <f t="shared" ref="K581:K644" ca="1" si="276">K580+0.5*(vit_z+H580)*pas</f>
        <v>-8.9917101098492171</v>
      </c>
      <c r="L581" s="304">
        <f t="shared" ca="1" si="261"/>
        <v>786.08066727380321</v>
      </c>
      <c r="M581" s="306">
        <f t="shared" ref="M581:M644" ca="1" si="277">IF(AND(L580&gt;L_rampe,G581&gt;0),ATAN2(G581,H581),$M$4)</f>
        <v>-1.4780611961824375</v>
      </c>
      <c r="N581" s="304">
        <f t="shared" ref="N581:N644" ca="1" si="278">DEGREES(Beta)</f>
        <v>-84.686668403311657</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7.4799999999999969</v>
      </c>
      <c r="T581" s="304">
        <f t="shared" ca="1" si="262"/>
        <v>73.37879999999997</v>
      </c>
      <c r="U581" s="311">
        <f t="shared" ca="1" si="263"/>
        <v>0</v>
      </c>
      <c r="V581" s="306">
        <f t="shared" ca="1" si="264"/>
        <v>1.2261019799226573</v>
      </c>
      <c r="W581" s="304">
        <f t="shared" ca="1" si="265"/>
        <v>57.928852766772387</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2.0233835626294567</v>
      </c>
      <c r="AH581" s="304">
        <f t="shared" ref="AH581:AH644" ca="1" si="289">IF(AND(L580&lt;L_rampe,Poussee&lt;Poids*SIN(M580)), g*SIN(M580), (-W580+Poussee)/m)</f>
        <v>-7.7444639414162744</v>
      </c>
    </row>
    <row r="582" spans="1:34" x14ac:dyDescent="0.2">
      <c r="A582" s="347">
        <f t="shared" ca="1" si="267"/>
        <v>1E-4</v>
      </c>
      <c r="B582" s="304">
        <f t="shared" ca="1" si="268"/>
        <v>34.705100000000392</v>
      </c>
      <c r="D582" s="306">
        <f t="shared" ca="1" si="269"/>
        <v>-0.71715819373927725</v>
      </c>
      <c r="E582" s="307">
        <f t="shared" ca="1" si="270"/>
        <v>-2.0987776975922561</v>
      </c>
      <c r="F582" s="304">
        <f t="shared" ca="1" si="271"/>
        <v>2.217923285138157</v>
      </c>
      <c r="G582" s="306">
        <f t="shared" ca="1" si="272"/>
        <v>11.300690245103642</v>
      </c>
      <c r="H582" s="307">
        <f t="shared" ca="1" si="273"/>
        <v>-121.51131918115357</v>
      </c>
      <c r="I582" s="304">
        <f t="shared" ca="1" si="274"/>
        <v>122.03567629656484</v>
      </c>
      <c r="J582" s="306">
        <f t="shared" ca="1" si="275"/>
        <v>786.02923903053897</v>
      </c>
      <c r="K582" s="307">
        <f t="shared" ca="1" si="276"/>
        <v>-9.0038612312734436</v>
      </c>
      <c r="L582" s="304">
        <f t="shared" ca="1" si="261"/>
        <v>786.08080636026239</v>
      </c>
      <c r="M582" s="306">
        <f t="shared" ca="1" si="277"/>
        <v>-1.4780619405780933</v>
      </c>
      <c r="N582" s="304">
        <f t="shared" ca="1" si="278"/>
        <v>-84.686711054041012</v>
      </c>
      <c r="P582" s="310">
        <f t="shared" ca="1" si="279"/>
        <v>23</v>
      </c>
      <c r="Q582" s="304">
        <f t="shared" ca="1" si="280"/>
        <v>0</v>
      </c>
      <c r="R582" s="306">
        <f t="shared" ca="1" si="281"/>
        <v>0</v>
      </c>
      <c r="S582" s="307">
        <f t="shared" ca="1" si="282"/>
        <v>7.4799999999999969</v>
      </c>
      <c r="T582" s="304">
        <f t="shared" ca="1" si="262"/>
        <v>73.37879999999997</v>
      </c>
      <c r="U582" s="311">
        <f t="shared" ca="1" si="263"/>
        <v>0</v>
      </c>
      <c r="V582" s="306">
        <f t="shared" ca="1" si="264"/>
        <v>1.2261034697752677</v>
      </c>
      <c r="W582" s="304">
        <f t="shared" ca="1" si="265"/>
        <v>57.929115249476219</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2.0233491472940681</v>
      </c>
      <c r="AH582" s="304">
        <f t="shared" ca="1" si="289"/>
        <v>-7.744499032990964</v>
      </c>
    </row>
    <row r="583" spans="1:34" x14ac:dyDescent="0.2">
      <c r="A583" s="347">
        <f t="shared" ca="1" si="267"/>
        <v>1E-4</v>
      </c>
      <c r="B583" s="304">
        <f t="shared" ca="1" si="268"/>
        <v>34.705200000000396</v>
      </c>
      <c r="D583" s="306">
        <f t="shared" ca="1" si="269"/>
        <v>-0.71715570304401277</v>
      </c>
      <c r="E583" s="307">
        <f t="shared" ca="1" si="270"/>
        <v>-2.0987422232528932</v>
      </c>
      <c r="F583" s="304">
        <f t="shared" ca="1" si="271"/>
        <v>2.2178889111208995</v>
      </c>
      <c r="G583" s="306">
        <f t="shared" ca="1" si="272"/>
        <v>11.300618529533338</v>
      </c>
      <c r="H583" s="307">
        <f t="shared" ca="1" si="273"/>
        <v>-121.51152905537589</v>
      </c>
      <c r="I583" s="304">
        <f t="shared" ca="1" si="274"/>
        <v>122.03587862807188</v>
      </c>
      <c r="J583" s="306">
        <f t="shared" ca="1" si="275"/>
        <v>786.02923903053897</v>
      </c>
      <c r="K583" s="307">
        <f t="shared" ca="1" si="276"/>
        <v>-9.0160123736852693</v>
      </c>
      <c r="L583" s="304">
        <f t="shared" ca="1" si="261"/>
        <v>786.08094563476777</v>
      </c>
      <c r="M583" s="306">
        <f t="shared" ca="1" si="277"/>
        <v>-1.4780626849665566</v>
      </c>
      <c r="N583" s="304">
        <f t="shared" ca="1" si="278"/>
        <v>-84.686753704358281</v>
      </c>
      <c r="P583" s="310">
        <f t="shared" ca="1" si="279"/>
        <v>23</v>
      </c>
      <c r="Q583" s="304">
        <f t="shared" ca="1" si="280"/>
        <v>0</v>
      </c>
      <c r="R583" s="306">
        <f t="shared" ca="1" si="281"/>
        <v>0</v>
      </c>
      <c r="S583" s="307">
        <f t="shared" ca="1" si="282"/>
        <v>7.4799999999999969</v>
      </c>
      <c r="T583" s="304">
        <f t="shared" ca="1" si="262"/>
        <v>73.37879999999997</v>
      </c>
      <c r="U583" s="311">
        <f t="shared" ca="1" si="263"/>
        <v>0</v>
      </c>
      <c r="V583" s="306">
        <f t="shared" ca="1" si="264"/>
        <v>1.2261049596322624</v>
      </c>
      <c r="W583" s="304">
        <f t="shared" ca="1" si="265"/>
        <v>57.929377729905227</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2.0233147322508538</v>
      </c>
      <c r="AH583" s="304">
        <f t="shared" ca="1" si="289"/>
        <v>-7.7445341242615298</v>
      </c>
    </row>
    <row r="584" spans="1:34" x14ac:dyDescent="0.2">
      <c r="A584" s="347">
        <f t="shared" ca="1" si="267"/>
        <v>1E-4</v>
      </c>
      <c r="B584" s="304">
        <f t="shared" ca="1" si="268"/>
        <v>34.705300000000399</v>
      </c>
      <c r="D584" s="306">
        <f t="shared" ca="1" si="269"/>
        <v>-0.71715321232363305</v>
      </c>
      <c r="E584" s="307">
        <f t="shared" ca="1" si="270"/>
        <v>-2.0987067492209377</v>
      </c>
      <c r="F584" s="304">
        <f t="shared" ca="1" si="271"/>
        <v>2.2178545374238641</v>
      </c>
      <c r="G584" s="306">
        <f t="shared" ca="1" si="272"/>
        <v>11.300546814212106</v>
      </c>
      <c r="H584" s="307">
        <f t="shared" ca="1" si="273"/>
        <v>-121.51173892605081</v>
      </c>
      <c r="I584" s="304">
        <f t="shared" ca="1" si="274"/>
        <v>122.03608095613744</v>
      </c>
      <c r="J584" s="306">
        <f t="shared" ca="1" si="275"/>
        <v>786.02923903053897</v>
      </c>
      <c r="K584" s="307">
        <f t="shared" ca="1" si="276"/>
        <v>-9.0281635370843407</v>
      </c>
      <c r="L584" s="304">
        <f t="shared" ca="1" si="261"/>
        <v>786.0810850973204</v>
      </c>
      <c r="M584" s="306">
        <f t="shared" ca="1" si="277"/>
        <v>-1.4780634293478276</v>
      </c>
      <c r="N584" s="304">
        <f t="shared" ca="1" si="278"/>
        <v>-84.686796354263464</v>
      </c>
      <c r="P584" s="310">
        <f t="shared" ca="1" si="279"/>
        <v>23</v>
      </c>
      <c r="Q584" s="304">
        <f t="shared" ca="1" si="280"/>
        <v>0</v>
      </c>
      <c r="R584" s="306">
        <f t="shared" ca="1" si="281"/>
        <v>0</v>
      </c>
      <c r="S584" s="307">
        <f t="shared" ca="1" si="282"/>
        <v>7.4799999999999969</v>
      </c>
      <c r="T584" s="304">
        <f t="shared" ca="1" si="262"/>
        <v>73.37879999999997</v>
      </c>
      <c r="U584" s="311">
        <f t="shared" ca="1" si="263"/>
        <v>0</v>
      </c>
      <c r="V584" s="306">
        <f t="shared" ca="1" si="264"/>
        <v>1.2261064494936416</v>
      </c>
      <c r="W584" s="304">
        <f t="shared" ca="1" si="265"/>
        <v>57.929640208059368</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2.0232803174998164</v>
      </c>
      <c r="AH584" s="304">
        <f t="shared" ca="1" si="289"/>
        <v>-7.7445692152279744</v>
      </c>
    </row>
    <row r="585" spans="1:34" x14ac:dyDescent="0.2">
      <c r="A585" s="347">
        <f t="shared" ca="1" si="267"/>
        <v>1E-4</v>
      </c>
      <c r="B585" s="304">
        <f t="shared" ca="1" si="268"/>
        <v>34.705400000000402</v>
      </c>
      <c r="D585" s="306">
        <f t="shared" ca="1" si="269"/>
        <v>-0.71715072157813753</v>
      </c>
      <c r="E585" s="307">
        <f t="shared" ca="1" si="270"/>
        <v>-2.0986712754963932</v>
      </c>
      <c r="F585" s="304">
        <f t="shared" ca="1" si="271"/>
        <v>2.2178201640470538</v>
      </c>
      <c r="G585" s="306">
        <f t="shared" ca="1" si="272"/>
        <v>11.300475099139948</v>
      </c>
      <c r="H585" s="307">
        <f t="shared" ca="1" si="273"/>
        <v>-121.51194879317836</v>
      </c>
      <c r="I585" s="304">
        <f t="shared" ca="1" si="274"/>
        <v>122.03628328076155</v>
      </c>
      <c r="J585" s="306">
        <f t="shared" ca="1" si="275"/>
        <v>786.02923903053897</v>
      </c>
      <c r="K585" s="307">
        <f t="shared" ca="1" si="276"/>
        <v>-9.0403147214703026</v>
      </c>
      <c r="L585" s="304">
        <f t="shared" ca="1" si="261"/>
        <v>786.08122474792106</v>
      </c>
      <c r="M585" s="306">
        <f t="shared" ca="1" si="277"/>
        <v>-1.4780641737219067</v>
      </c>
      <c r="N585" s="304">
        <f t="shared" ca="1" si="278"/>
        <v>-84.686839003756575</v>
      </c>
      <c r="P585" s="310">
        <f t="shared" ca="1" si="279"/>
        <v>23</v>
      </c>
      <c r="Q585" s="304">
        <f t="shared" ca="1" si="280"/>
        <v>0</v>
      </c>
      <c r="R585" s="306">
        <f t="shared" ca="1" si="281"/>
        <v>0</v>
      </c>
      <c r="S585" s="307">
        <f t="shared" ca="1" si="282"/>
        <v>7.4799999999999969</v>
      </c>
      <c r="T585" s="304">
        <f t="shared" ca="1" si="262"/>
        <v>73.37879999999997</v>
      </c>
      <c r="U585" s="311">
        <f t="shared" ca="1" si="263"/>
        <v>0</v>
      </c>
      <c r="V585" s="306">
        <f t="shared" ca="1" si="264"/>
        <v>1.2261079393594054</v>
      </c>
      <c r="W585" s="304">
        <f t="shared" ca="1" si="265"/>
        <v>57.929902683938707</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2.0232459030409586</v>
      </c>
      <c r="AH585" s="304">
        <f t="shared" ca="1" si="289"/>
        <v>-7.7446043058902934</v>
      </c>
    </row>
    <row r="586" spans="1:34" x14ac:dyDescent="0.2">
      <c r="A586" s="347">
        <f t="shared" ca="1" si="267"/>
        <v>1E-4</v>
      </c>
      <c r="B586" s="304">
        <f t="shared" ca="1" si="268"/>
        <v>34.705500000000406</v>
      </c>
      <c r="D586" s="306">
        <f t="shared" ca="1" si="269"/>
        <v>-0.71714823080752677</v>
      </c>
      <c r="E586" s="307">
        <f t="shared" ca="1" si="270"/>
        <v>-2.0986358020792544</v>
      </c>
      <c r="F586" s="304">
        <f t="shared" ca="1" si="271"/>
        <v>2.2177857909904648</v>
      </c>
      <c r="G586" s="306">
        <f t="shared" ca="1" si="272"/>
        <v>11.300403384316867</v>
      </c>
      <c r="H586" s="307">
        <f t="shared" ca="1" si="273"/>
        <v>-121.51215865675857</v>
      </c>
      <c r="I586" s="304">
        <f t="shared" ca="1" si="274"/>
        <v>122.03648560194425</v>
      </c>
      <c r="J586" s="306">
        <f t="shared" ca="1" si="275"/>
        <v>786.02923903053897</v>
      </c>
      <c r="K586" s="307">
        <f t="shared" ca="1" si="276"/>
        <v>-9.0524659268427996</v>
      </c>
      <c r="L586" s="304">
        <f t="shared" ca="1" si="261"/>
        <v>786.08136458657054</v>
      </c>
      <c r="M586" s="306">
        <f t="shared" ca="1" si="277"/>
        <v>-1.4780649180887935</v>
      </c>
      <c r="N586" s="304">
        <f t="shared" ca="1" si="278"/>
        <v>-84.686881652837599</v>
      </c>
      <c r="P586" s="310">
        <f t="shared" ca="1" si="279"/>
        <v>23</v>
      </c>
      <c r="Q586" s="304">
        <f t="shared" ca="1" si="280"/>
        <v>0</v>
      </c>
      <c r="R586" s="306">
        <f t="shared" ca="1" si="281"/>
        <v>0</v>
      </c>
      <c r="S586" s="307">
        <f t="shared" ca="1" si="282"/>
        <v>7.4799999999999969</v>
      </c>
      <c r="T586" s="304">
        <f t="shared" ca="1" si="262"/>
        <v>73.37879999999997</v>
      </c>
      <c r="U586" s="311">
        <f t="shared" ca="1" si="263"/>
        <v>0</v>
      </c>
      <c r="V586" s="306">
        <f t="shared" ca="1" si="264"/>
        <v>1.2261094292295531</v>
      </c>
      <c r="W586" s="304">
        <f t="shared" ca="1" si="265"/>
        <v>57.930165157543186</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2.0232114888742752</v>
      </c>
      <c r="AH586" s="304">
        <f t="shared" ca="1" si="289"/>
        <v>-7.7446393962484938</v>
      </c>
    </row>
    <row r="587" spans="1:34" x14ac:dyDescent="0.2">
      <c r="A587" s="347">
        <f t="shared" ca="1" si="267"/>
        <v>1E-4</v>
      </c>
      <c r="B587" s="304">
        <f t="shared" ca="1" si="268"/>
        <v>34.705600000000409</v>
      </c>
      <c r="D587" s="306">
        <f t="shared" ca="1" si="269"/>
        <v>-0.71714574001180276</v>
      </c>
      <c r="E587" s="307">
        <f t="shared" ca="1" si="270"/>
        <v>-2.0986003289695292</v>
      </c>
      <c r="F587" s="304">
        <f t="shared" ca="1" si="271"/>
        <v>2.2177514182541045</v>
      </c>
      <c r="G587" s="306">
        <f t="shared" ca="1" si="272"/>
        <v>11.300331669742866</v>
      </c>
      <c r="H587" s="307">
        <f t="shared" ca="1" si="273"/>
        <v>-121.51236851679147</v>
      </c>
      <c r="I587" s="304">
        <f t="shared" ca="1" si="274"/>
        <v>122.03668791968556</v>
      </c>
      <c r="J587" s="306">
        <f t="shared" ca="1" si="275"/>
        <v>786.02923903053897</v>
      </c>
      <c r="K587" s="307">
        <f t="shared" ca="1" si="276"/>
        <v>-9.0646171532014765</v>
      </c>
      <c r="L587" s="304">
        <f t="shared" ca="1" si="261"/>
        <v>786.08150461326989</v>
      </c>
      <c r="M587" s="306">
        <f t="shared" ca="1" si="277"/>
        <v>-1.4780656624484882</v>
      </c>
      <c r="N587" s="304">
        <f t="shared" ca="1" si="278"/>
        <v>-84.686924301506551</v>
      </c>
      <c r="P587" s="310">
        <f t="shared" ca="1" si="279"/>
        <v>23</v>
      </c>
      <c r="Q587" s="304">
        <f t="shared" ca="1" si="280"/>
        <v>0</v>
      </c>
      <c r="R587" s="306">
        <f t="shared" ca="1" si="281"/>
        <v>0</v>
      </c>
      <c r="S587" s="307">
        <f t="shared" ca="1" si="282"/>
        <v>7.4799999999999969</v>
      </c>
      <c r="T587" s="304">
        <f t="shared" ca="1" si="262"/>
        <v>73.37879999999997</v>
      </c>
      <c r="U587" s="311">
        <f t="shared" ca="1" si="263"/>
        <v>0</v>
      </c>
      <c r="V587" s="306">
        <f t="shared" ca="1" si="264"/>
        <v>1.2261109191040858</v>
      </c>
      <c r="W587" s="304">
        <f t="shared" ca="1" si="265"/>
        <v>57.930427628872863</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2.0231770749997704</v>
      </c>
      <c r="AH587" s="304">
        <f t="shared" ca="1" si="289"/>
        <v>-7.7446744863025678</v>
      </c>
    </row>
    <row r="588" spans="1:34" x14ac:dyDescent="0.2">
      <c r="A588" s="347">
        <f t="shared" ca="1" si="267"/>
        <v>1E-4</v>
      </c>
      <c r="B588" s="304">
        <f t="shared" ca="1" si="268"/>
        <v>34.705700000000412</v>
      </c>
      <c r="D588" s="306">
        <f t="shared" ca="1" si="269"/>
        <v>-0.7171432491909665</v>
      </c>
      <c r="E588" s="307">
        <f t="shared" ca="1" si="270"/>
        <v>-2.0985648561672061</v>
      </c>
      <c r="F588" s="304">
        <f t="shared" ca="1" si="271"/>
        <v>2.2177170458379631</v>
      </c>
      <c r="G588" s="306">
        <f t="shared" ca="1" si="272"/>
        <v>11.300259955417946</v>
      </c>
      <c r="H588" s="307">
        <f t="shared" ca="1" si="273"/>
        <v>-121.51257837327708</v>
      </c>
      <c r="I588" s="304">
        <f t="shared" ca="1" si="274"/>
        <v>122.03689023398552</v>
      </c>
      <c r="J588" s="306">
        <f t="shared" ca="1" si="275"/>
        <v>786.02923903053897</v>
      </c>
      <c r="K588" s="307">
        <f t="shared" ca="1" si="276"/>
        <v>-9.0767684005459799</v>
      </c>
      <c r="L588" s="304">
        <f t="shared" ca="1" si="261"/>
        <v>786.08164482801999</v>
      </c>
      <c r="M588" s="306">
        <f t="shared" ca="1" si="277"/>
        <v>-1.4780664068009914</v>
      </c>
      <c r="N588" s="304">
        <f t="shared" ca="1" si="278"/>
        <v>-84.686966949763445</v>
      </c>
      <c r="P588" s="310">
        <f t="shared" ca="1" si="279"/>
        <v>23</v>
      </c>
      <c r="Q588" s="304">
        <f t="shared" ca="1" si="280"/>
        <v>0</v>
      </c>
      <c r="R588" s="306">
        <f t="shared" ca="1" si="281"/>
        <v>0</v>
      </c>
      <c r="S588" s="307">
        <f t="shared" ca="1" si="282"/>
        <v>7.4799999999999969</v>
      </c>
      <c r="T588" s="304">
        <f t="shared" ca="1" si="262"/>
        <v>73.37879999999997</v>
      </c>
      <c r="U588" s="311">
        <f t="shared" ca="1" si="263"/>
        <v>0</v>
      </c>
      <c r="V588" s="306">
        <f t="shared" ca="1" si="264"/>
        <v>1.2261124089830024</v>
      </c>
      <c r="W588" s="304">
        <f t="shared" ca="1" si="265"/>
        <v>57.930690097927709</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2.0231426614174381</v>
      </c>
      <c r="AH588" s="304">
        <f t="shared" ca="1" si="289"/>
        <v>-7.7447095760525251</v>
      </c>
    </row>
    <row r="589" spans="1:34" x14ac:dyDescent="0.2">
      <c r="A589" s="347">
        <f t="shared" ca="1" si="267"/>
        <v>1E-4</v>
      </c>
      <c r="B589" s="304">
        <f t="shared" ca="1" si="268"/>
        <v>34.705800000000416</v>
      </c>
      <c r="D589" s="306">
        <f t="shared" ca="1" si="269"/>
        <v>-0.71714075834501545</v>
      </c>
      <c r="E589" s="307">
        <f t="shared" ca="1" si="270"/>
        <v>-2.0985293836722922</v>
      </c>
      <c r="F589" s="304">
        <f t="shared" ca="1" si="271"/>
        <v>2.217682673742047</v>
      </c>
      <c r="G589" s="306">
        <f t="shared" ca="1" si="272"/>
        <v>11.300188241342111</v>
      </c>
      <c r="H589" s="307">
        <f t="shared" ca="1" si="273"/>
        <v>-121.51278822621545</v>
      </c>
      <c r="I589" s="304">
        <f t="shared" ca="1" si="274"/>
        <v>122.03709254484413</v>
      </c>
      <c r="J589" s="306">
        <f t="shared" ca="1" si="275"/>
        <v>786.02923903053897</v>
      </c>
      <c r="K589" s="307">
        <f t="shared" ca="1" si="276"/>
        <v>-9.0889196688759544</v>
      </c>
      <c r="L589" s="304">
        <f t="shared" ca="1" si="261"/>
        <v>786.08178523082154</v>
      </c>
      <c r="M589" s="306">
        <f t="shared" ca="1" si="277"/>
        <v>-1.4780671511463026</v>
      </c>
      <c r="N589" s="304">
        <f t="shared" ca="1" si="278"/>
        <v>-84.687009597608281</v>
      </c>
      <c r="P589" s="310">
        <f t="shared" ca="1" si="279"/>
        <v>23</v>
      </c>
      <c r="Q589" s="304">
        <f t="shared" ca="1" si="280"/>
        <v>0</v>
      </c>
      <c r="R589" s="306">
        <f t="shared" ca="1" si="281"/>
        <v>0</v>
      </c>
      <c r="S589" s="307">
        <f t="shared" ca="1" si="282"/>
        <v>7.4799999999999969</v>
      </c>
      <c r="T589" s="304">
        <f t="shared" ca="1" si="262"/>
        <v>73.37879999999997</v>
      </c>
      <c r="U589" s="311">
        <f t="shared" ca="1" si="263"/>
        <v>0</v>
      </c>
      <c r="V589" s="306">
        <f t="shared" ca="1" si="264"/>
        <v>1.2261138988663032</v>
      </c>
      <c r="W589" s="304">
        <f t="shared" ca="1" si="265"/>
        <v>57.930952564707702</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2.0231082481272837</v>
      </c>
      <c r="AH589" s="304">
        <f t="shared" ca="1" si="289"/>
        <v>-7.7447446654983603</v>
      </c>
    </row>
    <row r="590" spans="1:34" x14ac:dyDescent="0.2">
      <c r="A590" s="347">
        <f t="shared" ca="1" si="267"/>
        <v>1E-4</v>
      </c>
      <c r="B590" s="304">
        <f t="shared" ca="1" si="268"/>
        <v>34.705900000000419</v>
      </c>
      <c r="D590" s="306">
        <f t="shared" ca="1" si="269"/>
        <v>-0.71713826747395415</v>
      </c>
      <c r="E590" s="307">
        <f t="shared" ca="1" si="270"/>
        <v>-2.0984939114847894</v>
      </c>
      <c r="F590" s="304">
        <f t="shared" ca="1" si="271"/>
        <v>2.2176483019663591</v>
      </c>
      <c r="G590" s="306">
        <f t="shared" ca="1" si="272"/>
        <v>11.300116527515364</v>
      </c>
      <c r="H590" s="307">
        <f t="shared" ca="1" si="273"/>
        <v>-121.5129980756066</v>
      </c>
      <c r="I590" s="304">
        <f t="shared" ca="1" si="274"/>
        <v>122.03729485226145</v>
      </c>
      <c r="J590" s="306">
        <f t="shared" ca="1" si="275"/>
        <v>786.02923903053897</v>
      </c>
      <c r="K590" s="307">
        <f t="shared" ca="1" si="276"/>
        <v>-9.1010709581910447</v>
      </c>
      <c r="L590" s="304">
        <f t="shared" ca="1" si="261"/>
        <v>786.08192582167555</v>
      </c>
      <c r="M590" s="306">
        <f t="shared" ca="1" si="277"/>
        <v>-1.4780678954844222</v>
      </c>
      <c r="N590" s="304">
        <f t="shared" ca="1" si="278"/>
        <v>-84.687052245041059</v>
      </c>
      <c r="P590" s="310">
        <f t="shared" ca="1" si="279"/>
        <v>23</v>
      </c>
      <c r="Q590" s="304">
        <f t="shared" ca="1" si="280"/>
        <v>0</v>
      </c>
      <c r="R590" s="306">
        <f t="shared" ca="1" si="281"/>
        <v>0</v>
      </c>
      <c r="S590" s="307">
        <f t="shared" ca="1" si="282"/>
        <v>7.4799999999999969</v>
      </c>
      <c r="T590" s="304">
        <f t="shared" ca="1" si="262"/>
        <v>73.37879999999997</v>
      </c>
      <c r="U590" s="311">
        <f t="shared" ca="1" si="263"/>
        <v>0</v>
      </c>
      <c r="V590" s="306">
        <f t="shared" ca="1" si="264"/>
        <v>1.2261153887539882</v>
      </c>
      <c r="W590" s="304">
        <f t="shared" ca="1" si="265"/>
        <v>57.931215029212879</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2.0230738351293098</v>
      </c>
      <c r="AH590" s="304">
        <f t="shared" ca="1" si="289"/>
        <v>-7.7447797546400707</v>
      </c>
    </row>
    <row r="591" spans="1:34" x14ac:dyDescent="0.2">
      <c r="A591" s="347">
        <f t="shared" ca="1" si="267"/>
        <v>1E-4</v>
      </c>
      <c r="B591" s="304">
        <f t="shared" ca="1" si="268"/>
        <v>34.706000000000422</v>
      </c>
      <c r="D591" s="306">
        <f t="shared" ca="1" si="269"/>
        <v>-0.71713577657778094</v>
      </c>
      <c r="E591" s="307">
        <f t="shared" ca="1" si="270"/>
        <v>-2.098458439604693</v>
      </c>
      <c r="F591" s="304">
        <f t="shared" ca="1" si="271"/>
        <v>2.2176139305108951</v>
      </c>
      <c r="G591" s="306">
        <f t="shared" ca="1" si="272"/>
        <v>11.300044813937706</v>
      </c>
      <c r="H591" s="307">
        <f t="shared" ca="1" si="273"/>
        <v>-121.51320792145056</v>
      </c>
      <c r="I591" s="304">
        <f t="shared" ca="1" si="274"/>
        <v>122.03749715623749</v>
      </c>
      <c r="J591" s="306">
        <f t="shared" ca="1" si="275"/>
        <v>786.02923903053897</v>
      </c>
      <c r="K591" s="307">
        <f t="shared" ca="1" si="276"/>
        <v>-9.1132222684908974</v>
      </c>
      <c r="L591" s="304">
        <f t="shared" ca="1" si="261"/>
        <v>786.08206660058283</v>
      </c>
      <c r="M591" s="306">
        <f t="shared" ca="1" si="277"/>
        <v>-1.47806863981535</v>
      </c>
      <c r="N591" s="304">
        <f t="shared" ca="1" si="278"/>
        <v>-84.687094892061779</v>
      </c>
      <c r="P591" s="310">
        <f t="shared" ca="1" si="279"/>
        <v>23</v>
      </c>
      <c r="Q591" s="304">
        <f t="shared" ca="1" si="280"/>
        <v>0</v>
      </c>
      <c r="R591" s="306">
        <f t="shared" ca="1" si="281"/>
        <v>0</v>
      </c>
      <c r="S591" s="307">
        <f t="shared" ca="1" si="282"/>
        <v>7.4799999999999969</v>
      </c>
      <c r="T591" s="304">
        <f t="shared" ca="1" si="262"/>
        <v>73.37879999999997</v>
      </c>
      <c r="U591" s="311">
        <f t="shared" ca="1" si="263"/>
        <v>0</v>
      </c>
      <c r="V591" s="306">
        <f t="shared" ca="1" si="264"/>
        <v>1.2261168786460575</v>
      </c>
      <c r="W591" s="304">
        <f t="shared" ca="1" si="265"/>
        <v>57.931477491443218</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2.0230394224235084</v>
      </c>
      <c r="AH591" s="304">
        <f t="shared" ca="1" si="289"/>
        <v>-7.7448148434776609</v>
      </c>
    </row>
    <row r="592" spans="1:34" x14ac:dyDescent="0.2">
      <c r="A592" s="347">
        <f t="shared" ca="1" si="267"/>
        <v>1E-4</v>
      </c>
      <c r="B592" s="304">
        <f t="shared" ca="1" si="268"/>
        <v>34.706100000000426</v>
      </c>
      <c r="D592" s="306">
        <f t="shared" ca="1" si="269"/>
        <v>-0.71713328565649903</v>
      </c>
      <c r="E592" s="307">
        <f t="shared" ca="1" si="270"/>
        <v>-2.0984229680320059</v>
      </c>
      <c r="F592" s="304">
        <f t="shared" ca="1" si="271"/>
        <v>2.2175795593756584</v>
      </c>
      <c r="G592" s="306">
        <f t="shared" ca="1" si="272"/>
        <v>11.29997310060914</v>
      </c>
      <c r="H592" s="307">
        <f t="shared" ca="1" si="273"/>
        <v>-121.51341776374736</v>
      </c>
      <c r="I592" s="304">
        <f t="shared" ca="1" si="274"/>
        <v>122.0376994567723</v>
      </c>
      <c r="J592" s="306">
        <f t="shared" ca="1" si="275"/>
        <v>786.02923903053897</v>
      </c>
      <c r="K592" s="307">
        <f t="shared" ca="1" si="276"/>
        <v>-9.1253735997751573</v>
      </c>
      <c r="L592" s="304">
        <f t="shared" ca="1" si="261"/>
        <v>786.08220756754429</v>
      </c>
      <c r="M592" s="306">
        <f t="shared" ca="1" si="277"/>
        <v>-1.4780693841390866</v>
      </c>
      <c r="N592" s="304">
        <f t="shared" ca="1" si="278"/>
        <v>-84.687137538670484</v>
      </c>
      <c r="P592" s="310">
        <f t="shared" ca="1" si="279"/>
        <v>23</v>
      </c>
      <c r="Q592" s="304">
        <f t="shared" ca="1" si="280"/>
        <v>0</v>
      </c>
      <c r="R592" s="306">
        <f t="shared" ca="1" si="281"/>
        <v>0</v>
      </c>
      <c r="S592" s="307">
        <f t="shared" ca="1" si="282"/>
        <v>7.4799999999999969</v>
      </c>
      <c r="T592" s="304">
        <f t="shared" ca="1" si="262"/>
        <v>73.37879999999997</v>
      </c>
      <c r="U592" s="311">
        <f t="shared" ca="1" si="263"/>
        <v>0</v>
      </c>
      <c r="V592" s="306">
        <f t="shared" ca="1" si="264"/>
        <v>1.2261183685425112</v>
      </c>
      <c r="W592" s="304">
        <f t="shared" ca="1" si="265"/>
        <v>57.931739951398754</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2.0230050100098849</v>
      </c>
      <c r="AH592" s="304">
        <f t="shared" ca="1" si="289"/>
        <v>-7.744849932011129</v>
      </c>
    </row>
    <row r="593" spans="1:34" x14ac:dyDescent="0.2">
      <c r="A593" s="347">
        <f t="shared" ca="1" si="267"/>
        <v>1E-4</v>
      </c>
      <c r="B593" s="304">
        <f t="shared" ca="1" si="268"/>
        <v>34.706200000000429</v>
      </c>
      <c r="D593" s="306">
        <f t="shared" ca="1" si="269"/>
        <v>-0.71713079471010477</v>
      </c>
      <c r="E593" s="307">
        <f t="shared" ca="1" si="270"/>
        <v>-2.0983874967667235</v>
      </c>
      <c r="F593" s="304">
        <f t="shared" ca="1" si="271"/>
        <v>2.2175451885606443</v>
      </c>
      <c r="G593" s="306">
        <f t="shared" ca="1" si="272"/>
        <v>11.299901387529669</v>
      </c>
      <c r="H593" s="307">
        <f t="shared" ca="1" si="273"/>
        <v>-121.51362760249704</v>
      </c>
      <c r="I593" s="304">
        <f t="shared" ca="1" si="274"/>
        <v>122.0379017538659</v>
      </c>
      <c r="J593" s="306">
        <f t="shared" ca="1" si="275"/>
        <v>786.02923903053897</v>
      </c>
      <c r="K593" s="307">
        <f t="shared" ca="1" si="276"/>
        <v>-9.1375249520434689</v>
      </c>
      <c r="L593" s="304">
        <f t="shared" ca="1" si="261"/>
        <v>786.08234872256071</v>
      </c>
      <c r="M593" s="306">
        <f t="shared" ca="1" si="277"/>
        <v>-1.4780701284556317</v>
      </c>
      <c r="N593" s="304">
        <f t="shared" ca="1" si="278"/>
        <v>-84.687180184867145</v>
      </c>
      <c r="P593" s="310">
        <f t="shared" ca="1" si="279"/>
        <v>23</v>
      </c>
      <c r="Q593" s="304">
        <f t="shared" ca="1" si="280"/>
        <v>0</v>
      </c>
      <c r="R593" s="306">
        <f t="shared" ca="1" si="281"/>
        <v>0</v>
      </c>
      <c r="S593" s="307">
        <f t="shared" ca="1" si="282"/>
        <v>7.4799999999999969</v>
      </c>
      <c r="T593" s="304">
        <f t="shared" ca="1" si="262"/>
        <v>73.37879999999997</v>
      </c>
      <c r="U593" s="311">
        <f t="shared" ca="1" si="263"/>
        <v>0</v>
      </c>
      <c r="V593" s="306">
        <f t="shared" ca="1" si="264"/>
        <v>1.2261198584433486</v>
      </c>
      <c r="W593" s="304">
        <f t="shared" ca="1" si="265"/>
        <v>57.932002409079452</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2.0229705978884374</v>
      </c>
      <c r="AH593" s="304">
        <f t="shared" ca="1" si="289"/>
        <v>-7.7448850202404786</v>
      </c>
    </row>
    <row r="594" spans="1:34" x14ac:dyDescent="0.2">
      <c r="A594" s="347">
        <f t="shared" ca="1" si="267"/>
        <v>1E-4</v>
      </c>
      <c r="B594" s="304">
        <f t="shared" ca="1" si="268"/>
        <v>34.706300000000432</v>
      </c>
      <c r="D594" s="306">
        <f t="shared" ca="1" si="269"/>
        <v>-0.71712830373860292</v>
      </c>
      <c r="E594" s="307">
        <f t="shared" ca="1" si="270"/>
        <v>-2.0983520258088495</v>
      </c>
      <c r="F594" s="304">
        <f t="shared" ca="1" si="271"/>
        <v>2.2175108180658576</v>
      </c>
      <c r="G594" s="306">
        <f t="shared" ca="1" si="272"/>
        <v>11.299829674699295</v>
      </c>
      <c r="H594" s="307">
        <f t="shared" ca="1" si="273"/>
        <v>-121.51383743769962</v>
      </c>
      <c r="I594" s="304">
        <f t="shared" ca="1" si="274"/>
        <v>122.03810404751832</v>
      </c>
      <c r="J594" s="306">
        <f t="shared" ca="1" si="275"/>
        <v>786.02923903053897</v>
      </c>
      <c r="K594" s="307">
        <f t="shared" ca="1" si="276"/>
        <v>-9.1496763252954789</v>
      </c>
      <c r="L594" s="304">
        <f t="shared" ca="1" si="261"/>
        <v>786.0824900656329</v>
      </c>
      <c r="M594" s="306">
        <f t="shared" ca="1" si="277"/>
        <v>-1.4780708727649856</v>
      </c>
      <c r="N594" s="304">
        <f t="shared" ca="1" si="278"/>
        <v>-84.687222830651777</v>
      </c>
      <c r="P594" s="310">
        <f t="shared" ca="1" si="279"/>
        <v>23</v>
      </c>
      <c r="Q594" s="304">
        <f t="shared" ca="1" si="280"/>
        <v>0</v>
      </c>
      <c r="R594" s="306">
        <f t="shared" ca="1" si="281"/>
        <v>0</v>
      </c>
      <c r="S594" s="307">
        <f t="shared" ca="1" si="282"/>
        <v>7.4799999999999969</v>
      </c>
      <c r="T594" s="304">
        <f t="shared" ca="1" si="262"/>
        <v>73.37879999999997</v>
      </c>
      <c r="U594" s="311">
        <f t="shared" ca="1" si="263"/>
        <v>0</v>
      </c>
      <c r="V594" s="306">
        <f t="shared" ca="1" si="264"/>
        <v>1.2261213483485707</v>
      </c>
      <c r="W594" s="304">
        <f t="shared" ca="1" si="265"/>
        <v>57.932264864485354</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2.0229361860591704</v>
      </c>
      <c r="AH594" s="304">
        <f t="shared" ca="1" si="289"/>
        <v>-7.7449201081657053</v>
      </c>
    </row>
    <row r="595" spans="1:34" x14ac:dyDescent="0.2">
      <c r="A595" s="347">
        <f t="shared" ca="1" si="267"/>
        <v>1E-4</v>
      </c>
      <c r="B595" s="304">
        <f t="shared" ca="1" si="268"/>
        <v>34.706400000000436</v>
      </c>
      <c r="D595" s="306">
        <f t="shared" ca="1" si="269"/>
        <v>-0.71712581274199183</v>
      </c>
      <c r="E595" s="307">
        <f t="shared" ca="1" si="270"/>
        <v>-2.0983165551583793</v>
      </c>
      <c r="F595" s="304">
        <f t="shared" ca="1" si="271"/>
        <v>2.2174764478912938</v>
      </c>
      <c r="G595" s="306">
        <f t="shared" ca="1" si="272"/>
        <v>11.29975796211802</v>
      </c>
      <c r="H595" s="307">
        <f t="shared" ca="1" si="273"/>
        <v>-121.51404726935513</v>
      </c>
      <c r="I595" s="304">
        <f t="shared" ca="1" si="274"/>
        <v>122.03830633772957</v>
      </c>
      <c r="J595" s="306">
        <f t="shared" ca="1" si="275"/>
        <v>786.02923903053897</v>
      </c>
      <c r="K595" s="307">
        <f t="shared" ca="1" si="276"/>
        <v>-9.161827719530832</v>
      </c>
      <c r="L595" s="304">
        <f t="shared" ca="1" si="261"/>
        <v>786.08263159676198</v>
      </c>
      <c r="M595" s="306">
        <f t="shared" ca="1" si="277"/>
        <v>-1.4780716170671484</v>
      </c>
      <c r="N595" s="304">
        <f t="shared" ca="1" si="278"/>
        <v>-84.687265476024379</v>
      </c>
      <c r="P595" s="310">
        <f t="shared" ca="1" si="279"/>
        <v>23</v>
      </c>
      <c r="Q595" s="304">
        <f t="shared" ca="1" si="280"/>
        <v>0</v>
      </c>
      <c r="R595" s="306">
        <f t="shared" ca="1" si="281"/>
        <v>0</v>
      </c>
      <c r="S595" s="307">
        <f t="shared" ca="1" si="282"/>
        <v>7.4799999999999969</v>
      </c>
      <c r="T595" s="304">
        <f t="shared" ca="1" si="262"/>
        <v>73.37879999999997</v>
      </c>
      <c r="U595" s="311">
        <f t="shared" ca="1" si="263"/>
        <v>0</v>
      </c>
      <c r="V595" s="306">
        <f t="shared" ca="1" si="264"/>
        <v>1.2261228382581766</v>
      </c>
      <c r="W595" s="304">
        <f t="shared" ca="1" si="265"/>
        <v>57.932527317616412</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2.0229017745220759</v>
      </c>
      <c r="AH595" s="304">
        <f t="shared" ca="1" si="289"/>
        <v>-7.7449551957868152</v>
      </c>
    </row>
    <row r="596" spans="1:34" x14ac:dyDescent="0.2">
      <c r="A596" s="347">
        <f t="shared" ca="1" si="267"/>
        <v>1E-4</v>
      </c>
      <c r="B596" s="304">
        <f t="shared" ca="1" si="268"/>
        <v>34.706500000000439</v>
      </c>
      <c r="D596" s="306">
        <f t="shared" ca="1" si="269"/>
        <v>-0.71712332172027238</v>
      </c>
      <c r="E596" s="307">
        <f t="shared" ca="1" si="270"/>
        <v>-2.0982810848153202</v>
      </c>
      <c r="F596" s="304">
        <f t="shared" ca="1" si="271"/>
        <v>2.2174420780369606</v>
      </c>
      <c r="G596" s="306">
        <f t="shared" ca="1" si="272"/>
        <v>11.299686249785848</v>
      </c>
      <c r="H596" s="307">
        <f t="shared" ca="1" si="273"/>
        <v>-121.51425709746361</v>
      </c>
      <c r="I596" s="304">
        <f t="shared" ca="1" si="274"/>
        <v>122.03850862449968</v>
      </c>
      <c r="J596" s="306">
        <f t="shared" ca="1" si="275"/>
        <v>786.02923903053897</v>
      </c>
      <c r="K596" s="307">
        <f t="shared" ca="1" si="276"/>
        <v>-9.1739791347491728</v>
      </c>
      <c r="L596" s="304">
        <f t="shared" ca="1" si="261"/>
        <v>786.08277331594866</v>
      </c>
      <c r="M596" s="306">
        <f t="shared" ca="1" si="277"/>
        <v>-1.4780723613621201</v>
      </c>
      <c r="N596" s="304">
        <f t="shared" ca="1" si="278"/>
        <v>-84.687308120984966</v>
      </c>
      <c r="P596" s="310">
        <f t="shared" ca="1" si="279"/>
        <v>23</v>
      </c>
      <c r="Q596" s="304">
        <f t="shared" ca="1" si="280"/>
        <v>0</v>
      </c>
      <c r="R596" s="306">
        <f t="shared" ca="1" si="281"/>
        <v>0</v>
      </c>
      <c r="S596" s="307">
        <f t="shared" ca="1" si="282"/>
        <v>7.4799999999999969</v>
      </c>
      <c r="T596" s="304">
        <f t="shared" ca="1" si="262"/>
        <v>73.37879999999997</v>
      </c>
      <c r="U596" s="311">
        <f t="shared" ca="1" si="263"/>
        <v>0</v>
      </c>
      <c r="V596" s="306">
        <f t="shared" ca="1" si="264"/>
        <v>1.2261243281721665</v>
      </c>
      <c r="W596" s="304">
        <f t="shared" ca="1" si="265"/>
        <v>57.932789768472638</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2.022867363277161</v>
      </c>
      <c r="AH596" s="304">
        <f t="shared" ca="1" si="289"/>
        <v>-7.7449902831038013</v>
      </c>
    </row>
    <row r="597" spans="1:34" x14ac:dyDescent="0.2">
      <c r="A597" s="347">
        <f t="shared" ca="1" si="267"/>
        <v>1E-4</v>
      </c>
      <c r="B597" s="304">
        <f t="shared" ca="1" si="268"/>
        <v>34.706600000000442</v>
      </c>
      <c r="D597" s="306">
        <f t="shared" ca="1" si="269"/>
        <v>-0.71712083067344634</v>
      </c>
      <c r="E597" s="307">
        <f t="shared" ca="1" si="270"/>
        <v>-2.0982456147796675</v>
      </c>
      <c r="F597" s="304">
        <f t="shared" ca="1" si="271"/>
        <v>2.2174077085028543</v>
      </c>
      <c r="G597" s="306">
        <f t="shared" ca="1" si="272"/>
        <v>11.29961453770278</v>
      </c>
      <c r="H597" s="307">
        <f t="shared" ca="1" si="273"/>
        <v>-121.51446692202509</v>
      </c>
      <c r="I597" s="304">
        <f t="shared" ca="1" si="274"/>
        <v>122.03871090782873</v>
      </c>
      <c r="J597" s="306">
        <f t="shared" ca="1" si="275"/>
        <v>786.02923903053897</v>
      </c>
      <c r="K597" s="307">
        <f t="shared" ca="1" si="276"/>
        <v>-9.186130570950148</v>
      </c>
      <c r="L597" s="304">
        <f t="shared" ca="1" si="261"/>
        <v>786.08291522319371</v>
      </c>
      <c r="M597" s="306">
        <f t="shared" ca="1" si="277"/>
        <v>-1.4780731056499006</v>
      </c>
      <c r="N597" s="304">
        <f t="shared" ca="1" si="278"/>
        <v>-84.687350765533537</v>
      </c>
      <c r="P597" s="310">
        <f t="shared" ca="1" si="279"/>
        <v>23</v>
      </c>
      <c r="Q597" s="304">
        <f t="shared" ca="1" si="280"/>
        <v>0</v>
      </c>
      <c r="R597" s="306">
        <f t="shared" ca="1" si="281"/>
        <v>0</v>
      </c>
      <c r="S597" s="307">
        <f t="shared" ca="1" si="282"/>
        <v>7.4799999999999969</v>
      </c>
      <c r="T597" s="304">
        <f t="shared" ca="1" si="262"/>
        <v>73.37879999999997</v>
      </c>
      <c r="U597" s="311">
        <f t="shared" ca="1" si="263"/>
        <v>0</v>
      </c>
      <c r="V597" s="306">
        <f t="shared" ca="1" si="264"/>
        <v>1.2261258180905403</v>
      </c>
      <c r="W597" s="304">
        <f t="shared" ca="1" si="265"/>
        <v>57.933052217054069</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2.0228329523244231</v>
      </c>
      <c r="AH597" s="304">
        <f t="shared" ca="1" si="289"/>
        <v>-7.7450253701166663</v>
      </c>
    </row>
    <row r="598" spans="1:34" x14ac:dyDescent="0.2">
      <c r="A598" s="347">
        <f t="shared" ca="1" si="267"/>
        <v>1E-4</v>
      </c>
      <c r="B598" s="304">
        <f t="shared" ca="1" si="268"/>
        <v>34.706700000000446</v>
      </c>
      <c r="D598" s="306">
        <f t="shared" ca="1" si="269"/>
        <v>-0.71711833960151528</v>
      </c>
      <c r="E598" s="307">
        <f t="shared" ca="1" si="270"/>
        <v>-2.0982101450514206</v>
      </c>
      <c r="F598" s="304">
        <f t="shared" ca="1" si="271"/>
        <v>2.2173733392889745</v>
      </c>
      <c r="G598" s="306">
        <f t="shared" ca="1" si="272"/>
        <v>11.299542825868819</v>
      </c>
      <c r="H598" s="307">
        <f t="shared" ca="1" si="273"/>
        <v>-121.5146767430396</v>
      </c>
      <c r="I598" s="304">
        <f t="shared" ca="1" si="274"/>
        <v>122.0389131877167</v>
      </c>
      <c r="J598" s="306">
        <f t="shared" ca="1" si="275"/>
        <v>786.02923903053897</v>
      </c>
      <c r="K598" s="307">
        <f t="shared" ca="1" si="276"/>
        <v>-9.1982820281334003</v>
      </c>
      <c r="L598" s="304">
        <f t="shared" ca="1" si="261"/>
        <v>786.08305731849816</v>
      </c>
      <c r="M598" s="306">
        <f t="shared" ca="1" si="277"/>
        <v>-1.4780738499304906</v>
      </c>
      <c r="N598" s="304">
        <f t="shared" ca="1" si="278"/>
        <v>-84.687393409670122</v>
      </c>
      <c r="P598" s="310">
        <f t="shared" ca="1" si="279"/>
        <v>23</v>
      </c>
      <c r="Q598" s="304">
        <f t="shared" ca="1" si="280"/>
        <v>0</v>
      </c>
      <c r="R598" s="306">
        <f t="shared" ca="1" si="281"/>
        <v>0</v>
      </c>
      <c r="S598" s="307">
        <f t="shared" ca="1" si="282"/>
        <v>7.4799999999999969</v>
      </c>
      <c r="T598" s="304">
        <f t="shared" ca="1" si="262"/>
        <v>73.37879999999997</v>
      </c>
      <c r="U598" s="311">
        <f t="shared" ca="1" si="263"/>
        <v>0</v>
      </c>
      <c r="V598" s="306">
        <f t="shared" ca="1" si="264"/>
        <v>1.2261273080132984</v>
      </c>
      <c r="W598" s="304">
        <f t="shared" ca="1" si="265"/>
        <v>57.933314663360697</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2.0227985416638603</v>
      </c>
      <c r="AH598" s="304">
        <f t="shared" ca="1" si="289"/>
        <v>-7.7450604568254136</v>
      </c>
    </row>
    <row r="599" spans="1:34" x14ac:dyDescent="0.2">
      <c r="A599" s="347">
        <f t="shared" ca="1" si="267"/>
        <v>1E-4</v>
      </c>
      <c r="B599" s="304">
        <f t="shared" ca="1" si="268"/>
        <v>34.706800000000449</v>
      </c>
      <c r="D599" s="306">
        <f t="shared" ca="1" si="269"/>
        <v>-0.71711584850447563</v>
      </c>
      <c r="E599" s="307">
        <f t="shared" ca="1" si="270"/>
        <v>-2.0981746756305757</v>
      </c>
      <c r="F599" s="304">
        <f t="shared" ca="1" si="271"/>
        <v>2.2173389703953172</v>
      </c>
      <c r="G599" s="306">
        <f t="shared" ca="1" si="272"/>
        <v>11.299471114283969</v>
      </c>
      <c r="H599" s="307">
        <f t="shared" ca="1" si="273"/>
        <v>-121.51488656050716</v>
      </c>
      <c r="I599" s="304">
        <f t="shared" ca="1" si="274"/>
        <v>122.03911546416363</v>
      </c>
      <c r="J599" s="306">
        <f t="shared" ca="1" si="275"/>
        <v>786.02923903053897</v>
      </c>
      <c r="K599" s="307">
        <f t="shared" ca="1" si="276"/>
        <v>-9.2104335062985783</v>
      </c>
      <c r="L599" s="304">
        <f t="shared" ca="1" si="261"/>
        <v>786.08319960186282</v>
      </c>
      <c r="M599" s="306">
        <f t="shared" ca="1" si="277"/>
        <v>-1.4780745942038895</v>
      </c>
      <c r="N599" s="304">
        <f t="shared" ca="1" si="278"/>
        <v>-84.687436053394677</v>
      </c>
      <c r="P599" s="310">
        <f t="shared" ca="1" si="279"/>
        <v>23</v>
      </c>
      <c r="Q599" s="304">
        <f t="shared" ca="1" si="280"/>
        <v>0</v>
      </c>
      <c r="R599" s="306">
        <f t="shared" ca="1" si="281"/>
        <v>0</v>
      </c>
      <c r="S599" s="307">
        <f t="shared" ca="1" si="282"/>
        <v>7.4799999999999969</v>
      </c>
      <c r="T599" s="304">
        <f t="shared" ca="1" si="262"/>
        <v>73.37879999999997</v>
      </c>
      <c r="U599" s="311">
        <f t="shared" ca="1" si="263"/>
        <v>0</v>
      </c>
      <c r="V599" s="306">
        <f t="shared" ca="1" si="264"/>
        <v>1.2261287979404403</v>
      </c>
      <c r="W599" s="304">
        <f t="shared" ca="1" si="265"/>
        <v>57.93357710739248</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2.0227641312954763</v>
      </c>
      <c r="AH599" s="304">
        <f t="shared" ca="1" si="289"/>
        <v>-7.7450955432300432</v>
      </c>
    </row>
    <row r="600" spans="1:34" x14ac:dyDescent="0.2">
      <c r="A600" s="347">
        <f t="shared" ca="1" si="267"/>
        <v>1E-4</v>
      </c>
      <c r="B600" s="304">
        <f t="shared" ca="1" si="268"/>
        <v>34.706900000000452</v>
      </c>
      <c r="D600" s="306">
        <f t="shared" ca="1" si="269"/>
        <v>-0.71711335738233351</v>
      </c>
      <c r="E600" s="307">
        <f t="shared" ca="1" si="270"/>
        <v>-2.0981392065171418</v>
      </c>
      <c r="F600" s="304">
        <f t="shared" ca="1" si="271"/>
        <v>2.2173046018218932</v>
      </c>
      <c r="G600" s="306">
        <f t="shared" ca="1" si="272"/>
        <v>11.299399402948231</v>
      </c>
      <c r="H600" s="307">
        <f t="shared" ca="1" si="273"/>
        <v>-121.51509637442781</v>
      </c>
      <c r="I600" s="304">
        <f t="shared" ca="1" si="274"/>
        <v>122.03931773716955</v>
      </c>
      <c r="J600" s="306">
        <f t="shared" ca="1" si="275"/>
        <v>786.02923903053897</v>
      </c>
      <c r="K600" s="307">
        <f t="shared" ca="1" si="276"/>
        <v>-9.2225850054453247</v>
      </c>
      <c r="L600" s="304">
        <f t="shared" ca="1" si="261"/>
        <v>786.08334207328858</v>
      </c>
      <c r="M600" s="306">
        <f t="shared" ca="1" si="277"/>
        <v>-1.478075338470098</v>
      </c>
      <c r="N600" s="304">
        <f t="shared" ca="1" si="278"/>
        <v>-84.687478696707259</v>
      </c>
      <c r="P600" s="310">
        <f t="shared" ca="1" si="279"/>
        <v>23</v>
      </c>
      <c r="Q600" s="304">
        <f t="shared" ca="1" si="280"/>
        <v>0</v>
      </c>
      <c r="R600" s="306">
        <f t="shared" ca="1" si="281"/>
        <v>0</v>
      </c>
      <c r="S600" s="307">
        <f t="shared" ca="1" si="282"/>
        <v>7.4799999999999969</v>
      </c>
      <c r="T600" s="304">
        <f t="shared" ca="1" si="262"/>
        <v>73.37879999999997</v>
      </c>
      <c r="U600" s="311">
        <f t="shared" ca="1" si="263"/>
        <v>0</v>
      </c>
      <c r="V600" s="306">
        <f t="shared" ca="1" si="264"/>
        <v>1.2261302878719662</v>
      </c>
      <c r="W600" s="304">
        <f t="shared" ca="1" si="265"/>
        <v>57.933839549149461</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2.0227297212192701</v>
      </c>
      <c r="AH600" s="304">
        <f t="shared" ca="1" si="289"/>
        <v>-7.7451306293305491</v>
      </c>
    </row>
    <row r="601" spans="1:34" x14ac:dyDescent="0.2">
      <c r="A601" s="347">
        <f t="shared" ca="1" si="267"/>
        <v>1E-4</v>
      </c>
      <c r="B601" s="304">
        <f t="shared" ca="1" si="268"/>
        <v>34.707000000000455</v>
      </c>
      <c r="D601" s="306">
        <f t="shared" ca="1" si="269"/>
        <v>-0.71711086623508535</v>
      </c>
      <c r="E601" s="307">
        <f t="shared" ca="1" si="270"/>
        <v>-2.0981037377111136</v>
      </c>
      <c r="F601" s="304">
        <f t="shared" ca="1" si="271"/>
        <v>2.217270233568696</v>
      </c>
      <c r="G601" s="306">
        <f t="shared" ca="1" si="272"/>
        <v>11.299327691861608</v>
      </c>
      <c r="H601" s="307">
        <f t="shared" ca="1" si="273"/>
        <v>-121.51530618480159</v>
      </c>
      <c r="I601" s="304">
        <f t="shared" ca="1" si="274"/>
        <v>122.03952000673449</v>
      </c>
      <c r="J601" s="306">
        <f t="shared" ca="1" si="275"/>
        <v>786.02923903053897</v>
      </c>
      <c r="K601" s="307">
        <f t="shared" ca="1" si="276"/>
        <v>-9.2347365255732861</v>
      </c>
      <c r="L601" s="304">
        <f t="shared" ca="1" si="261"/>
        <v>786.08348473277624</v>
      </c>
      <c r="M601" s="306">
        <f t="shared" ca="1" si="277"/>
        <v>-1.4780760827291159</v>
      </c>
      <c r="N601" s="304">
        <f t="shared" ca="1" si="278"/>
        <v>-84.687521339607855</v>
      </c>
      <c r="P601" s="310">
        <f t="shared" ca="1" si="279"/>
        <v>23</v>
      </c>
      <c r="Q601" s="304">
        <f t="shared" ca="1" si="280"/>
        <v>0</v>
      </c>
      <c r="R601" s="306">
        <f t="shared" ca="1" si="281"/>
        <v>0</v>
      </c>
      <c r="S601" s="307">
        <f t="shared" ca="1" si="282"/>
        <v>7.4799999999999969</v>
      </c>
      <c r="T601" s="304">
        <f t="shared" ca="1" si="262"/>
        <v>73.37879999999997</v>
      </c>
      <c r="U601" s="311">
        <f t="shared" ca="1" si="263"/>
        <v>0</v>
      </c>
      <c r="V601" s="306">
        <f t="shared" ca="1" si="264"/>
        <v>1.226131777807876</v>
      </c>
      <c r="W601" s="304">
        <f t="shared" ca="1" si="265"/>
        <v>57.934101988631618</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2.0226953114352417</v>
      </c>
      <c r="AH601" s="304">
        <f t="shared" ca="1" si="289"/>
        <v>-7.7451657151269364</v>
      </c>
    </row>
    <row r="602" spans="1:34" x14ac:dyDescent="0.2">
      <c r="A602" s="347">
        <f t="shared" ca="1" si="267"/>
        <v>1E-4</v>
      </c>
      <c r="B602" s="304">
        <f t="shared" ca="1" si="268"/>
        <v>34.707100000000459</v>
      </c>
      <c r="D602" s="306">
        <f t="shared" ca="1" si="269"/>
        <v>-0.71710837506273284</v>
      </c>
      <c r="E602" s="307">
        <f t="shared" ca="1" si="270"/>
        <v>-2.098068269212491</v>
      </c>
      <c r="F602" s="304">
        <f t="shared" ca="1" si="271"/>
        <v>2.2172358656357267</v>
      </c>
      <c r="G602" s="306">
        <f t="shared" ca="1" si="272"/>
        <v>11.299255981024102</v>
      </c>
      <c r="H602" s="307">
        <f t="shared" ca="1" si="273"/>
        <v>-121.5155159916285</v>
      </c>
      <c r="I602" s="304">
        <f t="shared" ca="1" si="274"/>
        <v>122.03972227285848</v>
      </c>
      <c r="J602" s="306">
        <f t="shared" ca="1" si="275"/>
        <v>786.02923903053897</v>
      </c>
      <c r="K602" s="307">
        <f t="shared" ca="1" si="276"/>
        <v>-9.2468880666821072</v>
      </c>
      <c r="L602" s="304">
        <f t="shared" ca="1" si="261"/>
        <v>786.08362758032683</v>
      </c>
      <c r="M602" s="306">
        <f t="shared" ca="1" si="277"/>
        <v>-1.4780768269809434</v>
      </c>
      <c r="N602" s="304">
        <f t="shared" ca="1" si="278"/>
        <v>-84.687563982096464</v>
      </c>
      <c r="P602" s="310">
        <f t="shared" ca="1" si="279"/>
        <v>23</v>
      </c>
      <c r="Q602" s="304">
        <f t="shared" ca="1" si="280"/>
        <v>0</v>
      </c>
      <c r="R602" s="306">
        <f t="shared" ca="1" si="281"/>
        <v>0</v>
      </c>
      <c r="S602" s="307">
        <f t="shared" ca="1" si="282"/>
        <v>7.4799999999999969</v>
      </c>
      <c r="T602" s="304">
        <f t="shared" ca="1" si="262"/>
        <v>73.37879999999997</v>
      </c>
      <c r="U602" s="311">
        <f t="shared" ca="1" si="263"/>
        <v>0</v>
      </c>
      <c r="V602" s="306">
        <f t="shared" ca="1" si="264"/>
        <v>1.2261332677481693</v>
      </c>
      <c r="W602" s="304">
        <f t="shared" ca="1" si="265"/>
        <v>57.934364425838965</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2.0226609019433912</v>
      </c>
      <c r="AH602" s="304">
        <f t="shared" ca="1" si="289"/>
        <v>-7.7452008006192035</v>
      </c>
    </row>
    <row r="603" spans="1:34" x14ac:dyDescent="0.2">
      <c r="A603" s="347">
        <f t="shared" ca="1" si="267"/>
        <v>1E-4</v>
      </c>
      <c r="B603" s="304">
        <f t="shared" ca="1" si="268"/>
        <v>34.707200000000462</v>
      </c>
      <c r="D603" s="306">
        <f t="shared" ca="1" si="269"/>
        <v>-0.71710588386527718</v>
      </c>
      <c r="E603" s="307">
        <f t="shared" ca="1" si="270"/>
        <v>-2.0980328010212741</v>
      </c>
      <c r="F603" s="304">
        <f t="shared" ca="1" si="271"/>
        <v>2.2172014980229862</v>
      </c>
      <c r="G603" s="306">
        <f t="shared" ca="1" si="272"/>
        <v>11.299184270435715</v>
      </c>
      <c r="H603" s="307">
        <f t="shared" ca="1" si="273"/>
        <v>-121.5157257949086</v>
      </c>
      <c r="I603" s="304">
        <f t="shared" ca="1" si="274"/>
        <v>122.03992453554154</v>
      </c>
      <c r="J603" s="306">
        <f t="shared" ca="1" si="275"/>
        <v>786.02923903053897</v>
      </c>
      <c r="K603" s="307">
        <f t="shared" ca="1" si="276"/>
        <v>-9.2590396287714345</v>
      </c>
      <c r="L603" s="304">
        <f t="shared" ca="1" si="261"/>
        <v>786.08377061594103</v>
      </c>
      <c r="M603" s="306">
        <f t="shared" ca="1" si="277"/>
        <v>-1.4780775712255805</v>
      </c>
      <c r="N603" s="304">
        <f t="shared" ca="1" si="278"/>
        <v>-84.687606624173085</v>
      </c>
      <c r="P603" s="310">
        <f t="shared" ca="1" si="279"/>
        <v>23</v>
      </c>
      <c r="Q603" s="304">
        <f t="shared" ca="1" si="280"/>
        <v>0</v>
      </c>
      <c r="R603" s="306">
        <f t="shared" ca="1" si="281"/>
        <v>0</v>
      </c>
      <c r="S603" s="307">
        <f t="shared" ca="1" si="282"/>
        <v>7.4799999999999969</v>
      </c>
      <c r="T603" s="304">
        <f t="shared" ca="1" si="262"/>
        <v>73.37879999999997</v>
      </c>
      <c r="U603" s="311">
        <f t="shared" ca="1" si="263"/>
        <v>0</v>
      </c>
      <c r="V603" s="306">
        <f t="shared" ca="1" si="264"/>
        <v>1.226134757692847</v>
      </c>
      <c r="W603" s="304">
        <f t="shared" ca="1" si="265"/>
        <v>57.934626860771509</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2.0226264927437194</v>
      </c>
      <c r="AH603" s="304">
        <f t="shared" ca="1" si="289"/>
        <v>-7.7452358858073511</v>
      </c>
    </row>
    <row r="604" spans="1:34" x14ac:dyDescent="0.2">
      <c r="A604" s="347">
        <f t="shared" ca="1" si="267"/>
        <v>1E-4</v>
      </c>
      <c r="B604" s="304">
        <f t="shared" ca="1" si="268"/>
        <v>34.707300000000465</v>
      </c>
      <c r="D604" s="306">
        <f t="shared" ca="1" si="269"/>
        <v>-0.71710339264272016</v>
      </c>
      <c r="E604" s="307">
        <f t="shared" ca="1" si="270"/>
        <v>-2.0979973331374611</v>
      </c>
      <c r="F604" s="304">
        <f t="shared" ca="1" si="271"/>
        <v>2.217167130730473</v>
      </c>
      <c r="G604" s="306">
        <f t="shared" ca="1" si="272"/>
        <v>11.29911256009645</v>
      </c>
      <c r="H604" s="307">
        <f t="shared" ca="1" si="273"/>
        <v>-121.51593559464192</v>
      </c>
      <c r="I604" s="304">
        <f t="shared" ca="1" si="274"/>
        <v>122.04012679478375</v>
      </c>
      <c r="J604" s="306">
        <f t="shared" ca="1" si="275"/>
        <v>786.02923903053897</v>
      </c>
      <c r="K604" s="307">
        <f t="shared" ca="1" si="276"/>
        <v>-9.2711912118409128</v>
      </c>
      <c r="L604" s="304">
        <f t="shared" ca="1" si="261"/>
        <v>786.08391383961975</v>
      </c>
      <c r="M604" s="306">
        <f t="shared" ca="1" si="277"/>
        <v>-1.4780783154630273</v>
      </c>
      <c r="N604" s="304">
        <f t="shared" ca="1" si="278"/>
        <v>-84.687649265837749</v>
      </c>
      <c r="P604" s="310">
        <f t="shared" ca="1" si="279"/>
        <v>23</v>
      </c>
      <c r="Q604" s="304">
        <f t="shared" ca="1" si="280"/>
        <v>0</v>
      </c>
      <c r="R604" s="306">
        <f t="shared" ca="1" si="281"/>
        <v>0</v>
      </c>
      <c r="S604" s="307">
        <f t="shared" ca="1" si="282"/>
        <v>7.4799999999999969</v>
      </c>
      <c r="T604" s="304">
        <f t="shared" ca="1" si="262"/>
        <v>73.37879999999997</v>
      </c>
      <c r="U604" s="311">
        <f t="shared" ca="1" si="263"/>
        <v>0</v>
      </c>
      <c r="V604" s="306">
        <f t="shared" ca="1" si="264"/>
        <v>1.226136247641908</v>
      </c>
      <c r="W604" s="304">
        <f t="shared" ca="1" si="265"/>
        <v>57.934889293429258</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2.0225920838362246</v>
      </c>
      <c r="AH604" s="304">
        <f t="shared" ca="1" si="289"/>
        <v>-7.7452709706913812</v>
      </c>
    </row>
    <row r="605" spans="1:34" x14ac:dyDescent="0.2">
      <c r="A605" s="347">
        <f t="shared" ca="1" si="267"/>
        <v>1E-4</v>
      </c>
      <c r="B605" s="304">
        <f t="shared" ca="1" si="268"/>
        <v>34.707400000000469</v>
      </c>
      <c r="D605" s="306">
        <f t="shared" ca="1" si="269"/>
        <v>-0.71710090139506144</v>
      </c>
      <c r="E605" s="307">
        <f t="shared" ca="1" si="270"/>
        <v>-2.0979618655610519</v>
      </c>
      <c r="F605" s="304">
        <f t="shared" ca="1" si="271"/>
        <v>2.2171327637581877</v>
      </c>
      <c r="G605" s="306">
        <f t="shared" ca="1" si="272"/>
        <v>11.29904085000631</v>
      </c>
      <c r="H605" s="307">
        <f t="shared" ca="1" si="273"/>
        <v>-121.51614539082847</v>
      </c>
      <c r="I605" s="304">
        <f t="shared" ca="1" si="274"/>
        <v>122.04032905058506</v>
      </c>
      <c r="J605" s="306">
        <f t="shared" ca="1" si="275"/>
        <v>786.02923903053897</v>
      </c>
      <c r="K605" s="307">
        <f t="shared" ca="1" si="276"/>
        <v>-9.2833428158901867</v>
      </c>
      <c r="L605" s="304">
        <f t="shared" ca="1" si="261"/>
        <v>786.0840572513639</v>
      </c>
      <c r="M605" s="306">
        <f t="shared" ca="1" si="277"/>
        <v>-1.478079059693284</v>
      </c>
      <c r="N605" s="304">
        <f t="shared" ca="1" si="278"/>
        <v>-84.687691907090439</v>
      </c>
      <c r="P605" s="310">
        <f t="shared" ca="1" si="279"/>
        <v>23</v>
      </c>
      <c r="Q605" s="304">
        <f t="shared" ca="1" si="280"/>
        <v>0</v>
      </c>
      <c r="R605" s="306">
        <f t="shared" ca="1" si="281"/>
        <v>0</v>
      </c>
      <c r="S605" s="307">
        <f t="shared" ca="1" si="282"/>
        <v>7.4799999999999969</v>
      </c>
      <c r="T605" s="304">
        <f t="shared" ca="1" si="262"/>
        <v>73.37879999999997</v>
      </c>
      <c r="U605" s="311">
        <f t="shared" ca="1" si="263"/>
        <v>0</v>
      </c>
      <c r="V605" s="306">
        <f t="shared" ca="1" si="264"/>
        <v>1.2261377375953535</v>
      </c>
      <c r="W605" s="304">
        <f t="shared" ca="1" si="265"/>
        <v>57.935151723812204</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2.022557675220904</v>
      </c>
      <c r="AH605" s="304">
        <f t="shared" ca="1" si="289"/>
        <v>-7.7453060552712945</v>
      </c>
    </row>
    <row r="606" spans="1:34" x14ac:dyDescent="0.2">
      <c r="A606" s="347">
        <f t="shared" ca="1" si="267"/>
        <v>1E-4</v>
      </c>
      <c r="B606" s="304">
        <f t="shared" ca="1" si="268"/>
        <v>34.707500000000472</v>
      </c>
      <c r="D606" s="306">
        <f t="shared" ca="1" si="269"/>
        <v>-0.71709841012230091</v>
      </c>
      <c r="E606" s="307">
        <f t="shared" ca="1" si="270"/>
        <v>-2.0979263982920475</v>
      </c>
      <c r="F606" s="304">
        <f t="shared" ca="1" si="271"/>
        <v>2.2170983971061307</v>
      </c>
      <c r="G606" s="306">
        <f t="shared" ca="1" si="272"/>
        <v>11.298969140165298</v>
      </c>
      <c r="H606" s="307">
        <f t="shared" ca="1" si="273"/>
        <v>-121.51635518346829</v>
      </c>
      <c r="I606" s="304">
        <f t="shared" ca="1" si="274"/>
        <v>122.04053130294554</v>
      </c>
      <c r="J606" s="306">
        <f t="shared" ca="1" si="275"/>
        <v>786.02923903053897</v>
      </c>
      <c r="K606" s="307">
        <f t="shared" ca="1" si="276"/>
        <v>-9.2954944409189011</v>
      </c>
      <c r="L606" s="304">
        <f t="shared" ca="1" si="261"/>
        <v>786.08420085117427</v>
      </c>
      <c r="M606" s="306">
        <f t="shared" ca="1" si="277"/>
        <v>-1.4780798039163507</v>
      </c>
      <c r="N606" s="304">
        <f t="shared" ca="1" si="278"/>
        <v>-84.687734547931186</v>
      </c>
      <c r="P606" s="310">
        <f t="shared" ca="1" si="279"/>
        <v>23</v>
      </c>
      <c r="Q606" s="304">
        <f t="shared" ca="1" si="280"/>
        <v>0</v>
      </c>
      <c r="R606" s="306">
        <f t="shared" ca="1" si="281"/>
        <v>0</v>
      </c>
      <c r="S606" s="307">
        <f t="shared" ca="1" si="282"/>
        <v>7.4799999999999969</v>
      </c>
      <c r="T606" s="304">
        <f t="shared" ca="1" si="262"/>
        <v>73.37879999999997</v>
      </c>
      <c r="U606" s="311">
        <f t="shared" ca="1" si="263"/>
        <v>0</v>
      </c>
      <c r="V606" s="306">
        <f t="shared" ca="1" si="264"/>
        <v>1.2261392275531819</v>
      </c>
      <c r="W606" s="304">
        <f t="shared" ca="1" si="265"/>
        <v>57.935414151920305</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2.0225232668977613</v>
      </c>
      <c r="AH606" s="304">
        <f t="shared" ca="1" si="289"/>
        <v>-7.7453411395470892</v>
      </c>
    </row>
    <row r="607" spans="1:34" x14ac:dyDescent="0.2">
      <c r="A607" s="347">
        <f t="shared" ca="1" si="267"/>
        <v>1E-4</v>
      </c>
      <c r="B607" s="304">
        <f t="shared" ca="1" si="268"/>
        <v>34.707600000000475</v>
      </c>
      <c r="D607" s="306">
        <f t="shared" ca="1" si="269"/>
        <v>-0.71709591882443902</v>
      </c>
      <c r="E607" s="307">
        <f t="shared" ca="1" si="270"/>
        <v>-2.0978909313304541</v>
      </c>
      <c r="F607" s="304">
        <f t="shared" ca="1" si="271"/>
        <v>2.217064030774309</v>
      </c>
      <c r="G607" s="306">
        <f t="shared" ca="1" si="272"/>
        <v>11.298897430573415</v>
      </c>
      <c r="H607" s="307">
        <f t="shared" ca="1" si="273"/>
        <v>-121.51656497256143</v>
      </c>
      <c r="I607" s="304">
        <f t="shared" ca="1" si="274"/>
        <v>122.04073355186522</v>
      </c>
      <c r="J607" s="306">
        <f t="shared" ca="1" si="275"/>
        <v>786.02923903053897</v>
      </c>
      <c r="K607" s="307">
        <f t="shared" ca="1" si="276"/>
        <v>-9.3076460869267024</v>
      </c>
      <c r="L607" s="304">
        <f t="shared" ca="1" si="261"/>
        <v>786.08434463905189</v>
      </c>
      <c r="M607" s="306">
        <f t="shared" ca="1" si="277"/>
        <v>-1.4780805481322274</v>
      </c>
      <c r="N607" s="304">
        <f t="shared" ca="1" si="278"/>
        <v>-84.687777188359973</v>
      </c>
      <c r="P607" s="310">
        <f t="shared" ca="1" si="279"/>
        <v>23</v>
      </c>
      <c r="Q607" s="304">
        <f t="shared" ca="1" si="280"/>
        <v>0</v>
      </c>
      <c r="R607" s="306">
        <f t="shared" ca="1" si="281"/>
        <v>0</v>
      </c>
      <c r="S607" s="307">
        <f t="shared" ca="1" si="282"/>
        <v>7.4799999999999969</v>
      </c>
      <c r="T607" s="304">
        <f t="shared" ca="1" si="262"/>
        <v>73.37879999999997</v>
      </c>
      <c r="U607" s="311">
        <f t="shared" ca="1" si="263"/>
        <v>0</v>
      </c>
      <c r="V607" s="306">
        <f t="shared" ca="1" si="264"/>
        <v>1.2261407175153944</v>
      </c>
      <c r="W607" s="304">
        <f t="shared" ca="1" si="265"/>
        <v>57.935676577753625</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2.0224888588668035</v>
      </c>
      <c r="AH607" s="304">
        <f t="shared" ca="1" si="289"/>
        <v>-7.7453762235187602</v>
      </c>
    </row>
    <row r="608" spans="1:34" x14ac:dyDescent="0.2">
      <c r="A608" s="347">
        <f t="shared" ca="1" si="267"/>
        <v>1E-4</v>
      </c>
      <c r="B608" s="304">
        <f t="shared" ca="1" si="268"/>
        <v>34.707700000000479</v>
      </c>
      <c r="D608" s="306">
        <f t="shared" ca="1" si="269"/>
        <v>-0.71709342750147842</v>
      </c>
      <c r="E608" s="307">
        <f t="shared" ca="1" si="270"/>
        <v>-2.0978554646762602</v>
      </c>
      <c r="F608" s="304">
        <f t="shared" ca="1" si="271"/>
        <v>2.2170296647627126</v>
      </c>
      <c r="G608" s="306">
        <f t="shared" ca="1" si="272"/>
        <v>11.298825721230665</v>
      </c>
      <c r="H608" s="307">
        <f t="shared" ca="1" si="273"/>
        <v>-121.5167747581079</v>
      </c>
      <c r="I608" s="304">
        <f t="shared" ca="1" si="274"/>
        <v>122.04093579734413</v>
      </c>
      <c r="J608" s="306">
        <f t="shared" ca="1" si="275"/>
        <v>786.02923903053897</v>
      </c>
      <c r="K608" s="307">
        <f t="shared" ca="1" si="276"/>
        <v>-9.3197977539132353</v>
      </c>
      <c r="L608" s="304">
        <f t="shared" ca="1" si="261"/>
        <v>786.08448861499744</v>
      </c>
      <c r="M608" s="306">
        <f t="shared" ca="1" si="277"/>
        <v>-1.4780812923409143</v>
      </c>
      <c r="N608" s="304">
        <f t="shared" ca="1" si="278"/>
        <v>-84.687819828376803</v>
      </c>
      <c r="P608" s="310">
        <f t="shared" ca="1" si="279"/>
        <v>23</v>
      </c>
      <c r="Q608" s="304">
        <f t="shared" ca="1" si="280"/>
        <v>0</v>
      </c>
      <c r="R608" s="306">
        <f t="shared" ca="1" si="281"/>
        <v>0</v>
      </c>
      <c r="S608" s="307">
        <f t="shared" ca="1" si="282"/>
        <v>7.4799999999999969</v>
      </c>
      <c r="T608" s="304">
        <f t="shared" ca="1" si="262"/>
        <v>73.37879999999997</v>
      </c>
      <c r="U608" s="311">
        <f t="shared" ca="1" si="263"/>
        <v>0</v>
      </c>
      <c r="V608" s="306">
        <f t="shared" ca="1" si="264"/>
        <v>1.2261422074819905</v>
      </c>
      <c r="W608" s="304">
        <f t="shared" ca="1" si="265"/>
        <v>57.935939001312136</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2.0224544511280174</v>
      </c>
      <c r="AH608" s="304">
        <f t="shared" ca="1" si="289"/>
        <v>-7.7454113071863171</v>
      </c>
    </row>
    <row r="609" spans="1:34" x14ac:dyDescent="0.2">
      <c r="A609" s="347">
        <f t="shared" ca="1" si="267"/>
        <v>1E-4</v>
      </c>
      <c r="B609" s="304">
        <f t="shared" ca="1" si="268"/>
        <v>34.707800000000482</v>
      </c>
      <c r="D609" s="306">
        <f t="shared" ca="1" si="269"/>
        <v>-0.71709093615341835</v>
      </c>
      <c r="E609" s="307">
        <f t="shared" ca="1" si="270"/>
        <v>-2.0978199983294727</v>
      </c>
      <c r="F609" s="304">
        <f t="shared" ca="1" si="271"/>
        <v>2.2169952990713475</v>
      </c>
      <c r="G609" s="306">
        <f t="shared" ca="1" si="272"/>
        <v>11.298754012137049</v>
      </c>
      <c r="H609" s="307">
        <f t="shared" ca="1" si="273"/>
        <v>-121.51698454010773</v>
      </c>
      <c r="I609" s="304">
        <f t="shared" ca="1" si="274"/>
        <v>122.04113803938229</v>
      </c>
      <c r="J609" s="306">
        <f t="shared" ca="1" si="275"/>
        <v>786.02923903053897</v>
      </c>
      <c r="K609" s="307">
        <f t="shared" ca="1" si="276"/>
        <v>-9.3319494418781463</v>
      </c>
      <c r="L609" s="304">
        <f t="shared" ca="1" si="261"/>
        <v>786.08463277901194</v>
      </c>
      <c r="M609" s="306">
        <f t="shared" ca="1" si="277"/>
        <v>-1.4780820365424114</v>
      </c>
      <c r="N609" s="304">
        <f t="shared" ca="1" si="278"/>
        <v>-84.687862467981688</v>
      </c>
      <c r="P609" s="310">
        <f t="shared" ca="1" si="279"/>
        <v>23</v>
      </c>
      <c r="Q609" s="304">
        <f t="shared" ca="1" si="280"/>
        <v>0</v>
      </c>
      <c r="R609" s="306">
        <f t="shared" ca="1" si="281"/>
        <v>0</v>
      </c>
      <c r="S609" s="307">
        <f t="shared" ca="1" si="282"/>
        <v>7.4799999999999969</v>
      </c>
      <c r="T609" s="304">
        <f t="shared" ca="1" si="262"/>
        <v>73.37879999999997</v>
      </c>
      <c r="U609" s="311">
        <f t="shared" ca="1" si="263"/>
        <v>0</v>
      </c>
      <c r="V609" s="306">
        <f t="shared" ca="1" si="264"/>
        <v>1.2261436974529707</v>
      </c>
      <c r="W609" s="304">
        <f t="shared" ca="1" si="265"/>
        <v>57.936201422595865</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2.0224200436814126</v>
      </c>
      <c r="AH609" s="304">
        <f t="shared" ca="1" si="289"/>
        <v>-7.7454463905497537</v>
      </c>
    </row>
    <row r="610" spans="1:34" x14ac:dyDescent="0.2">
      <c r="A610" s="347">
        <f t="shared" ca="1" si="267"/>
        <v>1E-4</v>
      </c>
      <c r="B610" s="304">
        <f t="shared" ca="1" si="268"/>
        <v>34.707900000000485</v>
      </c>
      <c r="D610" s="306">
        <f t="shared" ca="1" si="269"/>
        <v>-0.71708844478026057</v>
      </c>
      <c r="E610" s="307">
        <f t="shared" ca="1" si="270"/>
        <v>-2.0977845322900865</v>
      </c>
      <c r="F610" s="304">
        <f t="shared" ca="1" si="271"/>
        <v>2.2169609337002107</v>
      </c>
      <c r="G610" s="306">
        <f t="shared" ca="1" si="272"/>
        <v>11.298682303292571</v>
      </c>
      <c r="H610" s="307">
        <f t="shared" ca="1" si="273"/>
        <v>-121.51719431856095</v>
      </c>
      <c r="I610" s="304">
        <f t="shared" ca="1" si="274"/>
        <v>122.04134027797973</v>
      </c>
      <c r="J610" s="306">
        <f t="shared" ca="1" si="275"/>
        <v>786.02923903053897</v>
      </c>
      <c r="K610" s="307">
        <f t="shared" ca="1" si="276"/>
        <v>-9.3441011508210803</v>
      </c>
      <c r="L610" s="304">
        <f t="shared" ca="1" si="261"/>
        <v>786.08477713109608</v>
      </c>
      <c r="M610" s="306">
        <f t="shared" ca="1" si="277"/>
        <v>-1.4780827807367189</v>
      </c>
      <c r="N610" s="304">
        <f t="shared" ca="1" si="278"/>
        <v>-84.687905107174657</v>
      </c>
      <c r="P610" s="310">
        <f t="shared" ca="1" si="279"/>
        <v>23</v>
      </c>
      <c r="Q610" s="304">
        <f t="shared" ca="1" si="280"/>
        <v>0</v>
      </c>
      <c r="R610" s="306">
        <f t="shared" ca="1" si="281"/>
        <v>0</v>
      </c>
      <c r="S610" s="307">
        <f t="shared" ca="1" si="282"/>
        <v>7.4799999999999969</v>
      </c>
      <c r="T610" s="304">
        <f t="shared" ca="1" si="262"/>
        <v>73.37879999999997</v>
      </c>
      <c r="U610" s="311">
        <f t="shared" ca="1" si="263"/>
        <v>0</v>
      </c>
      <c r="V610" s="306">
        <f t="shared" ca="1" si="264"/>
        <v>1.2261451874283342</v>
      </c>
      <c r="W610" s="304">
        <f t="shared" ca="1" si="265"/>
        <v>57.936463841604777</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2.0223856365269812</v>
      </c>
      <c r="AH610" s="304">
        <f t="shared" ca="1" si="289"/>
        <v>-7.7454814736090762</v>
      </c>
    </row>
    <row r="611" spans="1:34" x14ac:dyDescent="0.2">
      <c r="A611" s="347">
        <f t="shared" ca="1" si="267"/>
        <v>1E-4</v>
      </c>
      <c r="B611" s="304">
        <f t="shared" ca="1" si="268"/>
        <v>34.708000000000489</v>
      </c>
      <c r="D611" s="306">
        <f t="shared" ca="1" si="269"/>
        <v>-0.71708595338200443</v>
      </c>
      <c r="E611" s="307">
        <f t="shared" ca="1" si="270"/>
        <v>-2.097749066558106</v>
      </c>
      <c r="F611" s="304">
        <f t="shared" ca="1" si="271"/>
        <v>2.2169265686493054</v>
      </c>
      <c r="G611" s="306">
        <f t="shared" ca="1" si="272"/>
        <v>11.298610594697232</v>
      </c>
      <c r="H611" s="307">
        <f t="shared" ca="1" si="273"/>
        <v>-121.5174040934676</v>
      </c>
      <c r="I611" s="304">
        <f t="shared" ca="1" si="274"/>
        <v>122.04154251313649</v>
      </c>
      <c r="J611" s="306">
        <f t="shared" ca="1" si="275"/>
        <v>786.02923903053897</v>
      </c>
      <c r="K611" s="307">
        <f t="shared" ca="1" si="276"/>
        <v>-9.3562528807416818</v>
      </c>
      <c r="L611" s="304">
        <f t="shared" ca="1" si="261"/>
        <v>786.08492167125087</v>
      </c>
      <c r="M611" s="306">
        <f t="shared" ca="1" si="277"/>
        <v>-1.4780835249238369</v>
      </c>
      <c r="N611" s="304">
        <f t="shared" ca="1" si="278"/>
        <v>-84.687947745955682</v>
      </c>
      <c r="P611" s="310">
        <f t="shared" ca="1" si="279"/>
        <v>23</v>
      </c>
      <c r="Q611" s="304">
        <f t="shared" ca="1" si="280"/>
        <v>0</v>
      </c>
      <c r="R611" s="306">
        <f t="shared" ca="1" si="281"/>
        <v>0</v>
      </c>
      <c r="S611" s="307">
        <f t="shared" ca="1" si="282"/>
        <v>7.4799999999999969</v>
      </c>
      <c r="T611" s="304">
        <f t="shared" ca="1" si="262"/>
        <v>73.37879999999997</v>
      </c>
      <c r="U611" s="311">
        <f t="shared" ca="1" si="263"/>
        <v>0</v>
      </c>
      <c r="V611" s="306">
        <f t="shared" ca="1" si="264"/>
        <v>1.2261466774080809</v>
      </c>
      <c r="W611" s="304">
        <f t="shared" ca="1" si="265"/>
        <v>57.936726258338872</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2.0223512296647312</v>
      </c>
      <c r="AH611" s="304">
        <f t="shared" ca="1" si="289"/>
        <v>-7.7455165563642785</v>
      </c>
    </row>
    <row r="612" spans="1:34" x14ac:dyDescent="0.2">
      <c r="A612" s="347">
        <f t="shared" ca="1" si="267"/>
        <v>1E-4</v>
      </c>
      <c r="B612" s="304">
        <f t="shared" ca="1" si="268"/>
        <v>34.708100000000492</v>
      </c>
      <c r="D612" s="306">
        <f t="shared" ca="1" si="269"/>
        <v>-0.71708346195865125</v>
      </c>
      <c r="E612" s="307">
        <f t="shared" ca="1" si="270"/>
        <v>-2.0977136011335329</v>
      </c>
      <c r="F612" s="304">
        <f t="shared" ca="1" si="271"/>
        <v>2.2168922039186345</v>
      </c>
      <c r="G612" s="306">
        <f t="shared" ca="1" si="272"/>
        <v>11.298538886351036</v>
      </c>
      <c r="H612" s="307">
        <f t="shared" ca="1" si="273"/>
        <v>-121.51761386482772</v>
      </c>
      <c r="I612" s="304">
        <f t="shared" ca="1" si="274"/>
        <v>122.04174474485259</v>
      </c>
      <c r="J612" s="306">
        <f t="shared" ca="1" si="275"/>
        <v>786.02923903053897</v>
      </c>
      <c r="K612" s="307">
        <f t="shared" ca="1" si="276"/>
        <v>-9.3684046316395975</v>
      </c>
      <c r="L612" s="304">
        <f t="shared" ca="1" si="261"/>
        <v>786.08506639947711</v>
      </c>
      <c r="M612" s="306">
        <f t="shared" ca="1" si="277"/>
        <v>-1.4780842691037654</v>
      </c>
      <c r="N612" s="304">
        <f t="shared" ca="1" si="278"/>
        <v>-84.687990384324777</v>
      </c>
      <c r="P612" s="310">
        <f t="shared" ca="1" si="279"/>
        <v>23</v>
      </c>
      <c r="Q612" s="304">
        <f t="shared" ca="1" si="280"/>
        <v>0</v>
      </c>
      <c r="R612" s="306">
        <f t="shared" ca="1" si="281"/>
        <v>0</v>
      </c>
      <c r="S612" s="307">
        <f t="shared" ca="1" si="282"/>
        <v>7.4799999999999969</v>
      </c>
      <c r="T612" s="304">
        <f t="shared" ca="1" si="262"/>
        <v>73.37879999999997</v>
      </c>
      <c r="U612" s="311">
        <f t="shared" ca="1" si="263"/>
        <v>0</v>
      </c>
      <c r="V612" s="306">
        <f t="shared" ca="1" si="264"/>
        <v>1.2261481673922119</v>
      </c>
      <c r="W612" s="304">
        <f t="shared" ca="1" si="265"/>
        <v>57.936988672798208</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2.0223168230946627</v>
      </c>
      <c r="AH612" s="304">
        <f t="shared" ca="1" si="289"/>
        <v>-7.7455516388153605</v>
      </c>
    </row>
    <row r="613" spans="1:34" x14ac:dyDescent="0.2">
      <c r="A613" s="347">
        <f t="shared" ca="1" si="267"/>
        <v>1E-4</v>
      </c>
      <c r="B613" s="304">
        <f t="shared" ca="1" si="268"/>
        <v>34.708200000000495</v>
      </c>
      <c r="D613" s="306">
        <f t="shared" ca="1" si="269"/>
        <v>-0.71708097051020159</v>
      </c>
      <c r="E613" s="307">
        <f t="shared" ca="1" si="270"/>
        <v>-2.0976781360163574</v>
      </c>
      <c r="F613" s="304">
        <f t="shared" ca="1" si="271"/>
        <v>2.2168578395081884</v>
      </c>
      <c r="G613" s="306">
        <f t="shared" ca="1" si="272"/>
        <v>11.298467178253984</v>
      </c>
      <c r="H613" s="307">
        <f t="shared" ca="1" si="273"/>
        <v>-121.51782363264132</v>
      </c>
      <c r="I613" s="304">
        <f t="shared" ca="1" si="274"/>
        <v>122.04194697312808</v>
      </c>
      <c r="J613" s="306">
        <f t="shared" ca="1" si="275"/>
        <v>786.02923903053897</v>
      </c>
      <c r="K613" s="307">
        <f t="shared" ca="1" si="276"/>
        <v>-9.3805564035144702</v>
      </c>
      <c r="L613" s="304">
        <f t="shared" ca="1" si="261"/>
        <v>786.08521131577572</v>
      </c>
      <c r="M613" s="306">
        <f t="shared" ca="1" si="277"/>
        <v>-1.4780850132765049</v>
      </c>
      <c r="N613" s="304">
        <f t="shared" ca="1" si="278"/>
        <v>-84.688033022281985</v>
      </c>
      <c r="P613" s="310">
        <f t="shared" ca="1" si="279"/>
        <v>23</v>
      </c>
      <c r="Q613" s="304">
        <f t="shared" ca="1" si="280"/>
        <v>0</v>
      </c>
      <c r="R613" s="306">
        <f t="shared" ca="1" si="281"/>
        <v>0</v>
      </c>
      <c r="S613" s="307">
        <f t="shared" ca="1" si="282"/>
        <v>7.4799999999999969</v>
      </c>
      <c r="T613" s="304">
        <f t="shared" ca="1" si="262"/>
        <v>73.37879999999997</v>
      </c>
      <c r="U613" s="311">
        <f t="shared" ca="1" si="263"/>
        <v>0</v>
      </c>
      <c r="V613" s="306">
        <f t="shared" ca="1" si="264"/>
        <v>1.2261496573807258</v>
      </c>
      <c r="W613" s="304">
        <f t="shared" ca="1" si="265"/>
        <v>57.937251084982734</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2.0222824168167657</v>
      </c>
      <c r="AH613" s="304">
        <f t="shared" ca="1" si="289"/>
        <v>-7.7455867209623301</v>
      </c>
    </row>
    <row r="614" spans="1:34" x14ac:dyDescent="0.2">
      <c r="A614" s="347">
        <f t="shared" ca="1" si="267"/>
        <v>1E-4</v>
      </c>
      <c r="B614" s="304">
        <f t="shared" ca="1" si="268"/>
        <v>34.708300000000499</v>
      </c>
      <c r="D614" s="306">
        <f t="shared" ca="1" si="269"/>
        <v>-0.71707847903665434</v>
      </c>
      <c r="E614" s="307">
        <f t="shared" ca="1" si="270"/>
        <v>-2.0976426712065877</v>
      </c>
      <c r="F614" s="304">
        <f t="shared" ca="1" si="271"/>
        <v>2.2168234754179754</v>
      </c>
      <c r="G614" s="306">
        <f t="shared" ca="1" si="272"/>
        <v>11.298395470406081</v>
      </c>
      <c r="H614" s="307">
        <f t="shared" ca="1" si="273"/>
        <v>-121.51803339690845</v>
      </c>
      <c r="I614" s="304">
        <f t="shared" ca="1" si="274"/>
        <v>122.04214919796296</v>
      </c>
      <c r="J614" s="306">
        <f t="shared" ca="1" si="275"/>
        <v>786.02923903053897</v>
      </c>
      <c r="K614" s="307">
        <f t="shared" ca="1" si="276"/>
        <v>-9.3927081963659482</v>
      </c>
      <c r="L614" s="304">
        <f t="shared" ca="1" si="261"/>
        <v>786.08535642014749</v>
      </c>
      <c r="M614" s="306">
        <f t="shared" ca="1" si="277"/>
        <v>-1.4780857574420547</v>
      </c>
      <c r="N614" s="304">
        <f t="shared" ca="1" si="278"/>
        <v>-84.688075659827248</v>
      </c>
      <c r="P614" s="310">
        <f t="shared" ca="1" si="279"/>
        <v>23</v>
      </c>
      <c r="Q614" s="304">
        <f t="shared" ca="1" si="280"/>
        <v>0</v>
      </c>
      <c r="R614" s="306">
        <f t="shared" ca="1" si="281"/>
        <v>0</v>
      </c>
      <c r="S614" s="307">
        <f t="shared" ca="1" si="282"/>
        <v>7.4799999999999969</v>
      </c>
      <c r="T614" s="304">
        <f t="shared" ca="1" si="262"/>
        <v>73.37879999999997</v>
      </c>
      <c r="U614" s="311">
        <f t="shared" ca="1" si="263"/>
        <v>0</v>
      </c>
      <c r="V614" s="306">
        <f t="shared" ca="1" si="264"/>
        <v>1.2261511473736235</v>
      </c>
      <c r="W614" s="304">
        <f t="shared" ca="1" si="265"/>
        <v>57.937513494892464</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2.0222480108310501</v>
      </c>
      <c r="AH614" s="304">
        <f t="shared" ca="1" si="289"/>
        <v>-7.7456218028051813</v>
      </c>
    </row>
    <row r="615" spans="1:34" x14ac:dyDescent="0.2">
      <c r="A615" s="347">
        <f t="shared" ca="1" si="267"/>
        <v>1E-4</v>
      </c>
      <c r="B615" s="304">
        <f t="shared" ca="1" si="268"/>
        <v>34.708400000000502</v>
      </c>
      <c r="D615" s="306">
        <f t="shared" ca="1" si="269"/>
        <v>-0.71707598753801494</v>
      </c>
      <c r="E615" s="307">
        <f t="shared" ca="1" si="270"/>
        <v>-2.0976072067042209</v>
      </c>
      <c r="F615" s="304">
        <f t="shared" ca="1" si="271"/>
        <v>2.2167891116479943</v>
      </c>
      <c r="G615" s="306">
        <f t="shared" ca="1" si="272"/>
        <v>11.298323762807328</v>
      </c>
      <c r="H615" s="307">
        <f t="shared" ca="1" si="273"/>
        <v>-121.51824315762912</v>
      </c>
      <c r="I615" s="304">
        <f t="shared" ca="1" si="274"/>
        <v>122.04235141935726</v>
      </c>
      <c r="J615" s="306">
        <f t="shared" ca="1" si="275"/>
        <v>786.02923903053897</v>
      </c>
      <c r="K615" s="307">
        <f t="shared" ca="1" si="276"/>
        <v>-9.4048600101936746</v>
      </c>
      <c r="L615" s="304">
        <f t="shared" ca="1" si="261"/>
        <v>786.08550171259333</v>
      </c>
      <c r="M615" s="306">
        <f t="shared" ca="1" si="277"/>
        <v>-1.4780865016004157</v>
      </c>
      <c r="N615" s="304">
        <f t="shared" ca="1" si="278"/>
        <v>-84.688118296960624</v>
      </c>
      <c r="P615" s="310">
        <f t="shared" ca="1" si="279"/>
        <v>23</v>
      </c>
      <c r="Q615" s="304">
        <f t="shared" ca="1" si="280"/>
        <v>0</v>
      </c>
      <c r="R615" s="306">
        <f t="shared" ca="1" si="281"/>
        <v>0</v>
      </c>
      <c r="S615" s="307">
        <f t="shared" ca="1" si="282"/>
        <v>7.4799999999999969</v>
      </c>
      <c r="T615" s="304">
        <f t="shared" ca="1" si="262"/>
        <v>73.37879999999997</v>
      </c>
      <c r="U615" s="311">
        <f t="shared" ca="1" si="263"/>
        <v>0</v>
      </c>
      <c r="V615" s="306">
        <f t="shared" ca="1" si="264"/>
        <v>1.2261526373709044</v>
      </c>
      <c r="W615" s="304">
        <f t="shared" ca="1" si="265"/>
        <v>57.937775902527392</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2.0222136051375141</v>
      </c>
      <c r="AH615" s="304">
        <f t="shared" ca="1" si="289"/>
        <v>-7.7456568843439157</v>
      </c>
    </row>
    <row r="616" spans="1:34" x14ac:dyDescent="0.2">
      <c r="A616" s="347">
        <f t="shared" ca="1" si="267"/>
        <v>1E-4</v>
      </c>
      <c r="B616" s="304">
        <f t="shared" ca="1" si="268"/>
        <v>34.708500000000505</v>
      </c>
      <c r="D616" s="306">
        <f t="shared" ca="1" si="269"/>
        <v>-0.71707349601427928</v>
      </c>
      <c r="E616" s="307">
        <f t="shared" ca="1" si="270"/>
        <v>-2.0975717425092588</v>
      </c>
      <c r="F616" s="304">
        <f t="shared" ca="1" si="271"/>
        <v>2.2167547481982459</v>
      </c>
      <c r="G616" s="306">
        <f t="shared" ca="1" si="272"/>
        <v>11.298252055457727</v>
      </c>
      <c r="H616" s="307">
        <f t="shared" ca="1" si="273"/>
        <v>-121.51845291480336</v>
      </c>
      <c r="I616" s="304">
        <f t="shared" ca="1" si="274"/>
        <v>122.04255363731102</v>
      </c>
      <c r="J616" s="306">
        <f t="shared" ca="1" si="275"/>
        <v>786.02923903053897</v>
      </c>
      <c r="K616" s="307">
        <f t="shared" ca="1" si="276"/>
        <v>-9.4170118449972957</v>
      </c>
      <c r="L616" s="304">
        <f t="shared" ca="1" si="261"/>
        <v>786.08564719311403</v>
      </c>
      <c r="M616" s="306">
        <f t="shared" ca="1" si="277"/>
        <v>-1.4780872457515875</v>
      </c>
      <c r="N616" s="304">
        <f t="shared" ca="1" si="278"/>
        <v>-84.688160933682084</v>
      </c>
      <c r="P616" s="310">
        <f t="shared" ca="1" si="279"/>
        <v>23</v>
      </c>
      <c r="Q616" s="304">
        <f t="shared" ca="1" si="280"/>
        <v>0</v>
      </c>
      <c r="R616" s="306">
        <f t="shared" ca="1" si="281"/>
        <v>0</v>
      </c>
      <c r="S616" s="307">
        <f t="shared" ca="1" si="282"/>
        <v>7.4799999999999969</v>
      </c>
      <c r="T616" s="304">
        <f t="shared" ca="1" si="262"/>
        <v>73.37879999999997</v>
      </c>
      <c r="U616" s="311">
        <f t="shared" ca="1" si="263"/>
        <v>0</v>
      </c>
      <c r="V616" s="306">
        <f t="shared" ca="1" si="264"/>
        <v>1.2261541273725693</v>
      </c>
      <c r="W616" s="304">
        <f t="shared" ca="1" si="265"/>
        <v>57.938038307887545</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2.0221791997361542</v>
      </c>
      <c r="AH616" s="304">
        <f t="shared" ca="1" si="289"/>
        <v>-7.7456919655785317</v>
      </c>
    </row>
    <row r="617" spans="1:34" x14ac:dyDescent="0.2">
      <c r="A617" s="347">
        <f t="shared" ca="1" si="267"/>
        <v>1E-4</v>
      </c>
      <c r="B617" s="304">
        <f t="shared" ca="1" si="268"/>
        <v>34.708600000000509</v>
      </c>
      <c r="D617" s="306">
        <f t="shared" ca="1" si="269"/>
        <v>-0.71707100446545091</v>
      </c>
      <c r="E617" s="307">
        <f t="shared" ca="1" si="270"/>
        <v>-2.0975362786216971</v>
      </c>
      <c r="F617" s="304">
        <f t="shared" ca="1" si="271"/>
        <v>2.216720385068728</v>
      </c>
      <c r="G617" s="306">
        <f t="shared" ca="1" si="272"/>
        <v>11.298180348357281</v>
      </c>
      <c r="H617" s="307">
        <f t="shared" ca="1" si="273"/>
        <v>-121.51866266843122</v>
      </c>
      <c r="I617" s="304">
        <f t="shared" ca="1" si="274"/>
        <v>122.04275585182427</v>
      </c>
      <c r="J617" s="306">
        <f t="shared" ca="1" si="275"/>
        <v>786.02923903053897</v>
      </c>
      <c r="K617" s="307">
        <f t="shared" ca="1" si="276"/>
        <v>-9.4291637007764582</v>
      </c>
      <c r="L617" s="304">
        <f t="shared" ca="1" si="261"/>
        <v>786.08579286171062</v>
      </c>
      <c r="M617" s="306">
        <f t="shared" ca="1" si="277"/>
        <v>-1.4780879898955706</v>
      </c>
      <c r="N617" s="304">
        <f t="shared" ca="1" si="278"/>
        <v>-84.688203569991657</v>
      </c>
      <c r="P617" s="310">
        <f t="shared" ca="1" si="279"/>
        <v>23</v>
      </c>
      <c r="Q617" s="304">
        <f t="shared" ca="1" si="280"/>
        <v>0</v>
      </c>
      <c r="R617" s="306">
        <f t="shared" ca="1" si="281"/>
        <v>0</v>
      </c>
      <c r="S617" s="307">
        <f t="shared" ca="1" si="282"/>
        <v>7.4799999999999969</v>
      </c>
      <c r="T617" s="304">
        <f t="shared" ca="1" si="262"/>
        <v>73.37879999999997</v>
      </c>
      <c r="U617" s="311">
        <f t="shared" ca="1" si="263"/>
        <v>0</v>
      </c>
      <c r="V617" s="306">
        <f t="shared" ca="1" si="264"/>
        <v>1.2261556173786172</v>
      </c>
      <c r="W617" s="304">
        <f t="shared" ca="1" si="265"/>
        <v>57.938300710972896</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2.0221447946269731</v>
      </c>
      <c r="AH617" s="304">
        <f t="shared" ca="1" si="289"/>
        <v>-7.7457270465090335</v>
      </c>
    </row>
    <row r="618" spans="1:34" x14ac:dyDescent="0.2">
      <c r="A618" s="347">
        <f t="shared" ca="1" si="267"/>
        <v>1E-4</v>
      </c>
      <c r="B618" s="304">
        <f t="shared" ca="1" si="268"/>
        <v>34.708700000000512</v>
      </c>
      <c r="D618" s="306">
        <f t="shared" ca="1" si="269"/>
        <v>-0.71706851289152762</v>
      </c>
      <c r="E618" s="307">
        <f t="shared" ca="1" si="270"/>
        <v>-2.0975008150415402</v>
      </c>
      <c r="F618" s="304">
        <f t="shared" ca="1" si="271"/>
        <v>2.2166860222594429</v>
      </c>
      <c r="G618" s="306">
        <f t="shared" ca="1" si="272"/>
        <v>11.298108641505992</v>
      </c>
      <c r="H618" s="307">
        <f t="shared" ca="1" si="273"/>
        <v>-121.51887241851273</v>
      </c>
      <c r="I618" s="304">
        <f t="shared" ca="1" si="274"/>
        <v>122.04295806289704</v>
      </c>
      <c r="J618" s="306">
        <f t="shared" ca="1" si="275"/>
        <v>786.02923903053897</v>
      </c>
      <c r="K618" s="307">
        <f t="shared" ca="1" si="276"/>
        <v>-9.4413155775308049</v>
      </c>
      <c r="L618" s="304">
        <f t="shared" ca="1" si="261"/>
        <v>786.08593871838389</v>
      </c>
      <c r="M618" s="306">
        <f t="shared" ca="1" si="277"/>
        <v>-1.4780887340323647</v>
      </c>
      <c r="N618" s="304">
        <f t="shared" ca="1" si="278"/>
        <v>-84.688246205889357</v>
      </c>
      <c r="P618" s="310">
        <f t="shared" ca="1" si="279"/>
        <v>23</v>
      </c>
      <c r="Q618" s="304">
        <f t="shared" ca="1" si="280"/>
        <v>0</v>
      </c>
      <c r="R618" s="306">
        <f t="shared" ca="1" si="281"/>
        <v>0</v>
      </c>
      <c r="S618" s="307">
        <f t="shared" ca="1" si="282"/>
        <v>7.4799999999999969</v>
      </c>
      <c r="T618" s="304">
        <f t="shared" ca="1" si="262"/>
        <v>73.37879999999997</v>
      </c>
      <c r="U618" s="311">
        <f t="shared" ca="1" si="263"/>
        <v>0</v>
      </c>
      <c r="V618" s="306">
        <f t="shared" ca="1" si="264"/>
        <v>1.2261571073890483</v>
      </c>
      <c r="W618" s="304">
        <f t="shared" ca="1" si="265"/>
        <v>57.938563111783445</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2.0221103898099715</v>
      </c>
      <c r="AH618" s="304">
        <f t="shared" ca="1" si="289"/>
        <v>-7.7457621271354169</v>
      </c>
    </row>
    <row r="619" spans="1:34" x14ac:dyDescent="0.2">
      <c r="A619" s="347">
        <f t="shared" ca="1" si="267"/>
        <v>1E-4</v>
      </c>
      <c r="B619" s="304">
        <f t="shared" ca="1" si="268"/>
        <v>34.708800000000515</v>
      </c>
      <c r="D619" s="306">
        <f t="shared" ca="1" si="269"/>
        <v>-0.7170660212925124</v>
      </c>
      <c r="E619" s="307">
        <f t="shared" ca="1" si="270"/>
        <v>-2.0974653517687871</v>
      </c>
      <c r="F619" s="304">
        <f t="shared" ca="1" si="271"/>
        <v>2.2166516597703927</v>
      </c>
      <c r="G619" s="306">
        <f t="shared" ca="1" si="272"/>
        <v>11.298036934903863</v>
      </c>
      <c r="H619" s="307">
        <f t="shared" ca="1" si="273"/>
        <v>-121.51908216504791</v>
      </c>
      <c r="I619" s="304">
        <f t="shared" ca="1" si="274"/>
        <v>122.04316027052936</v>
      </c>
      <c r="J619" s="306">
        <f t="shared" ca="1" si="275"/>
        <v>786.02923903053897</v>
      </c>
      <c r="K619" s="307">
        <f t="shared" ca="1" si="276"/>
        <v>-9.4534674752599823</v>
      </c>
      <c r="L619" s="304">
        <f t="shared" ca="1" si="261"/>
        <v>786.08608476313464</v>
      </c>
      <c r="M619" s="306">
        <f t="shared" ca="1" si="277"/>
        <v>-1.47808947816197</v>
      </c>
      <c r="N619" s="304">
        <f t="shared" ca="1" si="278"/>
        <v>-84.68828884137514</v>
      </c>
      <c r="P619" s="310">
        <f t="shared" ca="1" si="279"/>
        <v>23</v>
      </c>
      <c r="Q619" s="304">
        <f t="shared" ca="1" si="280"/>
        <v>0</v>
      </c>
      <c r="R619" s="306">
        <f t="shared" ca="1" si="281"/>
        <v>0</v>
      </c>
      <c r="S619" s="307">
        <f t="shared" ca="1" si="282"/>
        <v>7.4799999999999969</v>
      </c>
      <c r="T619" s="304">
        <f t="shared" ca="1" si="262"/>
        <v>73.37879999999997</v>
      </c>
      <c r="U619" s="311">
        <f t="shared" ca="1" si="263"/>
        <v>0</v>
      </c>
      <c r="V619" s="306">
        <f t="shared" ca="1" si="264"/>
        <v>1.2261585974038633</v>
      </c>
      <c r="W619" s="304">
        <f t="shared" ca="1" si="265"/>
        <v>57.938825510319234</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2.0220759852851522</v>
      </c>
      <c r="AH619" s="304">
        <f t="shared" ca="1" si="289"/>
        <v>-7.7457972074576826</v>
      </c>
    </row>
    <row r="620" spans="1:34" x14ac:dyDescent="0.2">
      <c r="A620" s="347">
        <f t="shared" ca="1" si="267"/>
        <v>1E-4</v>
      </c>
      <c r="B620" s="304">
        <f t="shared" ca="1" si="268"/>
        <v>34.708900000000519</v>
      </c>
      <c r="D620" s="306">
        <f t="shared" ca="1" si="269"/>
        <v>-0.71706352966840725</v>
      </c>
      <c r="E620" s="307">
        <f t="shared" ca="1" si="270"/>
        <v>-2.0974298888034317</v>
      </c>
      <c r="F620" s="304">
        <f t="shared" ca="1" si="271"/>
        <v>2.2166172976015708</v>
      </c>
      <c r="G620" s="306">
        <f t="shared" ca="1" si="272"/>
        <v>11.297965228550895</v>
      </c>
      <c r="H620" s="307">
        <f t="shared" ca="1" si="273"/>
        <v>-121.51929190803679</v>
      </c>
      <c r="I620" s="304">
        <f t="shared" ca="1" si="274"/>
        <v>122.04336247472126</v>
      </c>
      <c r="J620" s="306">
        <f t="shared" ca="1" si="275"/>
        <v>786.02923903053897</v>
      </c>
      <c r="K620" s="307">
        <f t="shared" ca="1" si="276"/>
        <v>-9.4656193939636371</v>
      </c>
      <c r="L620" s="304">
        <f t="shared" ca="1" si="261"/>
        <v>786.08623099596366</v>
      </c>
      <c r="M620" s="306">
        <f t="shared" ca="1" si="277"/>
        <v>-1.4780902222843868</v>
      </c>
      <c r="N620" s="304">
        <f t="shared" ca="1" si="278"/>
        <v>-84.688331476449065</v>
      </c>
      <c r="P620" s="310">
        <f t="shared" ca="1" si="279"/>
        <v>23</v>
      </c>
      <c r="Q620" s="304">
        <f t="shared" ca="1" si="280"/>
        <v>0</v>
      </c>
      <c r="R620" s="306">
        <f t="shared" ca="1" si="281"/>
        <v>0</v>
      </c>
      <c r="S620" s="307">
        <f t="shared" ca="1" si="282"/>
        <v>7.4799999999999969</v>
      </c>
      <c r="T620" s="304">
        <f t="shared" ca="1" si="262"/>
        <v>73.37879999999997</v>
      </c>
      <c r="U620" s="311">
        <f t="shared" ca="1" si="263"/>
        <v>0</v>
      </c>
      <c r="V620" s="306">
        <f t="shared" ca="1" si="264"/>
        <v>1.2261600874230609</v>
      </c>
      <c r="W620" s="304">
        <f t="shared" ca="1" si="265"/>
        <v>57.93908790658022</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2.0220415810525036</v>
      </c>
      <c r="AH620" s="304">
        <f t="shared" ca="1" si="289"/>
        <v>-7.745832287475837</v>
      </c>
    </row>
    <row r="621" spans="1:34" x14ac:dyDescent="0.2">
      <c r="A621" s="347">
        <f t="shared" ca="1" si="267"/>
        <v>1E-4</v>
      </c>
      <c r="B621" s="304">
        <f t="shared" ca="1" si="268"/>
        <v>34.709000000000522</v>
      </c>
      <c r="D621" s="306">
        <f t="shared" ca="1" si="269"/>
        <v>-0.71706103801920984</v>
      </c>
      <c r="E621" s="307">
        <f t="shared" ca="1" si="270"/>
        <v>-2.0973944261454829</v>
      </c>
      <c r="F621" s="304">
        <f t="shared" ca="1" si="271"/>
        <v>2.216582935752986</v>
      </c>
      <c r="G621" s="306">
        <f t="shared" ca="1" si="272"/>
        <v>11.297893522447094</v>
      </c>
      <c r="H621" s="307">
        <f t="shared" ca="1" si="273"/>
        <v>-121.5195016474794</v>
      </c>
      <c r="I621" s="304">
        <f t="shared" ca="1" si="274"/>
        <v>122.04356467547275</v>
      </c>
      <c r="J621" s="306">
        <f t="shared" ca="1" si="275"/>
        <v>786.02923903053897</v>
      </c>
      <c r="K621" s="307">
        <f t="shared" ca="1" si="276"/>
        <v>-9.477771333641412</v>
      </c>
      <c r="L621" s="304">
        <f t="shared" ca="1" si="261"/>
        <v>786.0863774168721</v>
      </c>
      <c r="M621" s="306">
        <f t="shared" ca="1" si="277"/>
        <v>-1.4780909663996151</v>
      </c>
      <c r="N621" s="304">
        <f t="shared" ca="1" si="278"/>
        <v>-84.688374111111116</v>
      </c>
      <c r="P621" s="310">
        <f t="shared" ca="1" si="279"/>
        <v>23</v>
      </c>
      <c r="Q621" s="304">
        <f t="shared" ca="1" si="280"/>
        <v>0</v>
      </c>
      <c r="R621" s="306">
        <f t="shared" ca="1" si="281"/>
        <v>0</v>
      </c>
      <c r="S621" s="307">
        <f t="shared" ca="1" si="282"/>
        <v>7.4799999999999969</v>
      </c>
      <c r="T621" s="304">
        <f t="shared" ca="1" si="262"/>
        <v>73.37879999999997</v>
      </c>
      <c r="U621" s="311">
        <f t="shared" ca="1" si="263"/>
        <v>0</v>
      </c>
      <c r="V621" s="306">
        <f t="shared" ca="1" si="264"/>
        <v>1.2261615774466423</v>
      </c>
      <c r="W621" s="304">
        <f t="shared" ca="1" si="265"/>
        <v>57.939350300566403</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2.0220071771120409</v>
      </c>
      <c r="AH621" s="304">
        <f t="shared" ca="1" si="289"/>
        <v>-7.7458673671898719</v>
      </c>
    </row>
    <row r="622" spans="1:34" x14ac:dyDescent="0.2">
      <c r="A622" s="347">
        <f t="shared" ca="1" si="267"/>
        <v>1E-4</v>
      </c>
      <c r="B622" s="304">
        <f t="shared" ca="1" si="268"/>
        <v>34.709100000000525</v>
      </c>
      <c r="D622" s="306">
        <f t="shared" ca="1" si="269"/>
        <v>-0.71705854634492128</v>
      </c>
      <c r="E622" s="307">
        <f t="shared" ca="1" si="270"/>
        <v>-2.0973589637949361</v>
      </c>
      <c r="F622" s="304">
        <f t="shared" ca="1" si="271"/>
        <v>2.2165485742246345</v>
      </c>
      <c r="G622" s="306">
        <f t="shared" ca="1" si="272"/>
        <v>11.297821816592458</v>
      </c>
      <c r="H622" s="307">
        <f t="shared" ca="1" si="273"/>
        <v>-121.51971138337578</v>
      </c>
      <c r="I622" s="304">
        <f t="shared" ca="1" si="274"/>
        <v>122.04376687278388</v>
      </c>
      <c r="J622" s="306">
        <f t="shared" ca="1" si="275"/>
        <v>786.02923903053897</v>
      </c>
      <c r="K622" s="307">
        <f t="shared" ca="1" si="276"/>
        <v>-9.4899232942929554</v>
      </c>
      <c r="L622" s="304">
        <f t="shared" ca="1" si="261"/>
        <v>786.08652402586051</v>
      </c>
      <c r="M622" s="306">
        <f t="shared" ca="1" si="277"/>
        <v>-1.478091710507655</v>
      </c>
      <c r="N622" s="304">
        <f t="shared" ca="1" si="278"/>
        <v>-84.688416745361309</v>
      </c>
      <c r="P622" s="310">
        <f t="shared" ca="1" si="279"/>
        <v>23</v>
      </c>
      <c r="Q622" s="304">
        <f t="shared" ca="1" si="280"/>
        <v>0</v>
      </c>
      <c r="R622" s="306">
        <f t="shared" ca="1" si="281"/>
        <v>0</v>
      </c>
      <c r="S622" s="307">
        <f t="shared" ca="1" si="282"/>
        <v>7.4799999999999969</v>
      </c>
      <c r="T622" s="304">
        <f t="shared" ca="1" si="262"/>
        <v>73.37879999999997</v>
      </c>
      <c r="U622" s="311">
        <f t="shared" ca="1" si="263"/>
        <v>0</v>
      </c>
      <c r="V622" s="306">
        <f t="shared" ca="1" si="264"/>
        <v>1.2261630674746069</v>
      </c>
      <c r="W622" s="304">
        <f t="shared" ca="1" si="265"/>
        <v>57.939612692277827</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2.021972773463756</v>
      </c>
      <c r="AH622" s="304">
        <f t="shared" ca="1" si="289"/>
        <v>-7.7459024465997901</v>
      </c>
    </row>
    <row r="623" spans="1:34" x14ac:dyDescent="0.2">
      <c r="A623" s="347">
        <f t="shared" ca="1" si="267"/>
        <v>1E-4</v>
      </c>
      <c r="B623" s="304">
        <f t="shared" ca="1" si="268"/>
        <v>34.709200000000529</v>
      </c>
      <c r="D623" s="306">
        <f t="shared" ca="1" si="269"/>
        <v>-0.71705605464554389</v>
      </c>
      <c r="E623" s="307">
        <f t="shared" ca="1" si="270"/>
        <v>-2.0973235017517897</v>
      </c>
      <c r="F623" s="304">
        <f t="shared" ca="1" si="271"/>
        <v>2.2165142130165152</v>
      </c>
      <c r="G623" s="306">
        <f t="shared" ca="1" si="272"/>
        <v>11.297750110986994</v>
      </c>
      <c r="H623" s="307">
        <f t="shared" ca="1" si="273"/>
        <v>-121.51992111572595</v>
      </c>
      <c r="I623" s="304">
        <f t="shared" ca="1" si="274"/>
        <v>122.04396906665468</v>
      </c>
      <c r="J623" s="306">
        <f t="shared" ca="1" si="275"/>
        <v>786.02923903053897</v>
      </c>
      <c r="K623" s="307">
        <f t="shared" ca="1" si="276"/>
        <v>-9.5020752759179103</v>
      </c>
      <c r="L623" s="304">
        <f t="shared" ca="1" si="261"/>
        <v>786.08667082292993</v>
      </c>
      <c r="M623" s="306">
        <f t="shared" ca="1" si="277"/>
        <v>-1.4780924546085066</v>
      </c>
      <c r="N623" s="304">
        <f t="shared" ca="1" si="278"/>
        <v>-84.688459379199628</v>
      </c>
      <c r="P623" s="310">
        <f t="shared" ca="1" si="279"/>
        <v>23</v>
      </c>
      <c r="Q623" s="304">
        <f t="shared" ca="1" si="280"/>
        <v>0</v>
      </c>
      <c r="R623" s="306">
        <f t="shared" ca="1" si="281"/>
        <v>0</v>
      </c>
      <c r="S623" s="307">
        <f t="shared" ca="1" si="282"/>
        <v>7.4799999999999969</v>
      </c>
      <c r="T623" s="304">
        <f t="shared" ca="1" si="262"/>
        <v>73.37879999999997</v>
      </c>
      <c r="U623" s="311">
        <f t="shared" ca="1" si="263"/>
        <v>0</v>
      </c>
      <c r="V623" s="306">
        <f t="shared" ca="1" si="264"/>
        <v>1.2261645575069549</v>
      </c>
      <c r="W623" s="304">
        <f t="shared" ca="1" si="265"/>
        <v>57.939875081714476</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2.0219383701076454</v>
      </c>
      <c r="AH623" s="304">
        <f t="shared" ca="1" si="289"/>
        <v>-7.7459375257055951</v>
      </c>
    </row>
    <row r="624" spans="1:34" x14ac:dyDescent="0.2">
      <c r="A624" s="347">
        <f t="shared" ca="1" si="267"/>
        <v>1E-4</v>
      </c>
      <c r="B624" s="304">
        <f t="shared" ca="1" si="268"/>
        <v>34.709300000000532</v>
      </c>
      <c r="D624" s="306">
        <f t="shared" ca="1" si="269"/>
        <v>-0.71705356292107703</v>
      </c>
      <c r="E624" s="307">
        <f t="shared" ca="1" si="270"/>
        <v>-2.0972880400160427</v>
      </c>
      <c r="F624" s="304">
        <f t="shared" ca="1" si="271"/>
        <v>2.2164798521286282</v>
      </c>
      <c r="G624" s="306">
        <f t="shared" ca="1" si="272"/>
        <v>11.297678405630702</v>
      </c>
      <c r="H624" s="307">
        <f t="shared" ca="1" si="273"/>
        <v>-121.52013084452994</v>
      </c>
      <c r="I624" s="304">
        <f t="shared" ca="1" si="274"/>
        <v>122.04417125708517</v>
      </c>
      <c r="J624" s="306">
        <f t="shared" ca="1" si="275"/>
        <v>786.02923903053897</v>
      </c>
      <c r="K624" s="307">
        <f t="shared" ca="1" si="276"/>
        <v>-9.5142272785159232</v>
      </c>
      <c r="L624" s="304">
        <f t="shared" ca="1" si="261"/>
        <v>786.08681780808115</v>
      </c>
      <c r="M624" s="306">
        <f t="shared" ca="1" si="277"/>
        <v>-1.4780931987021699</v>
      </c>
      <c r="N624" s="304">
        <f t="shared" ca="1" si="278"/>
        <v>-84.688502012626103</v>
      </c>
      <c r="P624" s="310">
        <f t="shared" ca="1" si="279"/>
        <v>23</v>
      </c>
      <c r="Q624" s="304">
        <f t="shared" ca="1" si="280"/>
        <v>0</v>
      </c>
      <c r="R624" s="306">
        <f t="shared" ca="1" si="281"/>
        <v>0</v>
      </c>
      <c r="S624" s="307">
        <f t="shared" ca="1" si="282"/>
        <v>7.4799999999999969</v>
      </c>
      <c r="T624" s="304">
        <f t="shared" ca="1" si="262"/>
        <v>73.37879999999997</v>
      </c>
      <c r="U624" s="311">
        <f t="shared" ca="1" si="263"/>
        <v>0</v>
      </c>
      <c r="V624" s="306">
        <f t="shared" ca="1" si="264"/>
        <v>1.2261660475436857</v>
      </c>
      <c r="W624" s="304">
        <f t="shared" ca="1" si="265"/>
        <v>57.94013746887633</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2.0219039670437171</v>
      </c>
      <c r="AH624" s="304">
        <f t="shared" ca="1" si="289"/>
        <v>-7.7459726045072861</v>
      </c>
    </row>
    <row r="625" spans="1:34" x14ac:dyDescent="0.2">
      <c r="A625" s="347">
        <f t="shared" ca="1" si="267"/>
        <v>1E-4</v>
      </c>
      <c r="B625" s="304">
        <f t="shared" ca="1" si="268"/>
        <v>34.709400000000535</v>
      </c>
      <c r="D625" s="306">
        <f t="shared" ca="1" si="269"/>
        <v>-0.71705107117152178</v>
      </c>
      <c r="E625" s="307">
        <f t="shared" ca="1" si="270"/>
        <v>-2.0972525785876996</v>
      </c>
      <c r="F625" s="304">
        <f t="shared" ca="1" si="271"/>
        <v>2.216445491560977</v>
      </c>
      <c r="G625" s="306">
        <f t="shared" ca="1" si="272"/>
        <v>11.297606700523584</v>
      </c>
      <c r="H625" s="307">
        <f t="shared" ca="1" si="273"/>
        <v>-121.52034056978781</v>
      </c>
      <c r="I625" s="304">
        <f t="shared" ca="1" si="274"/>
        <v>122.04437344407538</v>
      </c>
      <c r="J625" s="306">
        <f t="shared" ca="1" si="275"/>
        <v>786.02923903053897</v>
      </c>
      <c r="K625" s="307">
        <f t="shared" ca="1" si="276"/>
        <v>-9.5263793020866387</v>
      </c>
      <c r="L625" s="304">
        <f t="shared" ca="1" si="261"/>
        <v>786.08696498131519</v>
      </c>
      <c r="M625" s="306">
        <f t="shared" ca="1" si="277"/>
        <v>-1.4780939427886453</v>
      </c>
      <c r="N625" s="304">
        <f t="shared" ca="1" si="278"/>
        <v>-84.688544645640732</v>
      </c>
      <c r="P625" s="310">
        <f t="shared" ca="1" si="279"/>
        <v>23</v>
      </c>
      <c r="Q625" s="304">
        <f t="shared" ca="1" si="280"/>
        <v>0</v>
      </c>
      <c r="R625" s="306">
        <f t="shared" ca="1" si="281"/>
        <v>0</v>
      </c>
      <c r="S625" s="307">
        <f t="shared" ca="1" si="282"/>
        <v>7.4799999999999969</v>
      </c>
      <c r="T625" s="304">
        <f t="shared" ca="1" si="262"/>
        <v>73.37879999999997</v>
      </c>
      <c r="U625" s="311">
        <f t="shared" ca="1" si="263"/>
        <v>0</v>
      </c>
      <c r="V625" s="306">
        <f t="shared" ca="1" si="264"/>
        <v>1.2261675375847998</v>
      </c>
      <c r="W625" s="304">
        <f t="shared" ca="1" si="265"/>
        <v>57.940399853763395</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2.0218695642719666</v>
      </c>
      <c r="AH625" s="304">
        <f t="shared" ca="1" si="289"/>
        <v>-7.7460076830048603</v>
      </c>
    </row>
    <row r="626" spans="1:34" x14ac:dyDescent="0.2">
      <c r="A626" s="347">
        <f t="shared" ca="1" si="267"/>
        <v>1E-4</v>
      </c>
      <c r="B626" s="304">
        <f t="shared" ca="1" si="268"/>
        <v>34.709500000000538</v>
      </c>
      <c r="D626" s="306">
        <f t="shared" ca="1" si="269"/>
        <v>-0.71704857939687805</v>
      </c>
      <c r="E626" s="307">
        <f t="shared" ca="1" si="270"/>
        <v>-2.0972171174667587</v>
      </c>
      <c r="F626" s="304">
        <f t="shared" ca="1" si="271"/>
        <v>2.2164111313135613</v>
      </c>
      <c r="G626" s="306">
        <f t="shared" ca="1" si="272"/>
        <v>11.297534995665645</v>
      </c>
      <c r="H626" s="307">
        <f t="shared" ca="1" si="273"/>
        <v>-121.52055029149955</v>
      </c>
      <c r="I626" s="304">
        <f t="shared" ca="1" si="274"/>
        <v>122.04457562762533</v>
      </c>
      <c r="J626" s="306">
        <f t="shared" ca="1" si="275"/>
        <v>786.02923903053897</v>
      </c>
      <c r="K626" s="307">
        <f t="shared" ca="1" si="276"/>
        <v>-9.5385313466297035</v>
      </c>
      <c r="L626" s="304">
        <f t="shared" ca="1" si="261"/>
        <v>786.08711234263274</v>
      </c>
      <c r="M626" s="306">
        <f t="shared" ca="1" si="277"/>
        <v>-1.4780946868679326</v>
      </c>
      <c r="N626" s="304">
        <f t="shared" ca="1" si="278"/>
        <v>-84.688587278243517</v>
      </c>
      <c r="P626" s="310">
        <f t="shared" ca="1" si="279"/>
        <v>23</v>
      </c>
      <c r="Q626" s="304">
        <f t="shared" ca="1" si="280"/>
        <v>0</v>
      </c>
      <c r="R626" s="306">
        <f t="shared" ca="1" si="281"/>
        <v>0</v>
      </c>
      <c r="S626" s="307">
        <f t="shared" ca="1" si="282"/>
        <v>7.4799999999999969</v>
      </c>
      <c r="T626" s="304">
        <f t="shared" ca="1" si="262"/>
        <v>73.37879999999997</v>
      </c>
      <c r="U626" s="311">
        <f t="shared" ca="1" si="263"/>
        <v>0</v>
      </c>
      <c r="V626" s="306">
        <f t="shared" ca="1" si="264"/>
        <v>1.226169027630297</v>
      </c>
      <c r="W626" s="304">
        <f t="shared" ca="1" si="265"/>
        <v>57.940662236375687</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2.0218351617923993</v>
      </c>
      <c r="AH626" s="304">
        <f t="shared" ca="1" si="289"/>
        <v>-7.7460427611983178</v>
      </c>
    </row>
    <row r="627" spans="1:34" x14ac:dyDescent="0.2">
      <c r="A627" s="347">
        <f t="shared" ca="1" si="267"/>
        <v>1E-4</v>
      </c>
      <c r="B627" s="304">
        <f t="shared" ca="1" si="268"/>
        <v>34.709600000000542</v>
      </c>
      <c r="D627" s="306">
        <f t="shared" ca="1" si="269"/>
        <v>-0.71704608759714761</v>
      </c>
      <c r="E627" s="307">
        <f t="shared" ca="1" si="270"/>
        <v>-2.097181656653218</v>
      </c>
      <c r="F627" s="304">
        <f t="shared" ca="1" si="271"/>
        <v>2.2163767713863796</v>
      </c>
      <c r="G627" s="306">
        <f t="shared" ca="1" si="272"/>
        <v>11.297463291056886</v>
      </c>
      <c r="H627" s="307">
        <f t="shared" ca="1" si="273"/>
        <v>-121.52076000966521</v>
      </c>
      <c r="I627" s="304">
        <f t="shared" ca="1" si="274"/>
        <v>122.04477780773509</v>
      </c>
      <c r="J627" s="306">
        <f t="shared" ca="1" si="275"/>
        <v>786.02923903053897</v>
      </c>
      <c r="K627" s="307">
        <f t="shared" ca="1" si="276"/>
        <v>-9.5506834121447621</v>
      </c>
      <c r="L627" s="304">
        <f t="shared" ca="1" si="261"/>
        <v>786.08725989203458</v>
      </c>
      <c r="M627" s="306">
        <f t="shared" ca="1" si="277"/>
        <v>-1.4780954309400318</v>
      </c>
      <c r="N627" s="304">
        <f t="shared" ca="1" si="278"/>
        <v>-84.688629910434457</v>
      </c>
      <c r="P627" s="310">
        <f t="shared" ca="1" si="279"/>
        <v>23</v>
      </c>
      <c r="Q627" s="304">
        <f t="shared" ca="1" si="280"/>
        <v>0</v>
      </c>
      <c r="R627" s="306">
        <f t="shared" ca="1" si="281"/>
        <v>0</v>
      </c>
      <c r="S627" s="307">
        <f t="shared" ca="1" si="282"/>
        <v>7.4799999999999969</v>
      </c>
      <c r="T627" s="304">
        <f t="shared" ca="1" si="262"/>
        <v>73.37879999999997</v>
      </c>
      <c r="U627" s="311">
        <f t="shared" ca="1" si="263"/>
        <v>0</v>
      </c>
      <c r="V627" s="306">
        <f t="shared" ca="1" si="264"/>
        <v>1.2261705176801774</v>
      </c>
      <c r="W627" s="304">
        <f t="shared" ca="1" si="265"/>
        <v>57.940924616713211</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2.021800759605008</v>
      </c>
      <c r="AH627" s="304">
        <f t="shared" ca="1" si="289"/>
        <v>-7.7460778390876621</v>
      </c>
    </row>
    <row r="628" spans="1:34" x14ac:dyDescent="0.2">
      <c r="A628" s="347">
        <f t="shared" ca="1" si="267"/>
        <v>1E-4</v>
      </c>
      <c r="B628" s="304">
        <f t="shared" ca="1" si="268"/>
        <v>34.709700000000545</v>
      </c>
      <c r="D628" s="306">
        <f t="shared" ca="1" si="269"/>
        <v>-0.7170435957723319</v>
      </c>
      <c r="E628" s="307">
        <f t="shared" ca="1" si="270"/>
        <v>-2.0971461961470776</v>
      </c>
      <c r="F628" s="304">
        <f t="shared" ca="1" si="271"/>
        <v>2.2163424117794328</v>
      </c>
      <c r="G628" s="306">
        <f t="shared" ca="1" si="272"/>
        <v>11.297391586697309</v>
      </c>
      <c r="H628" s="307">
        <f t="shared" ca="1" si="273"/>
        <v>-121.52096972428483</v>
      </c>
      <c r="I628" s="304">
        <f t="shared" ca="1" si="274"/>
        <v>122.04497998440463</v>
      </c>
      <c r="J628" s="306">
        <f t="shared" ca="1" si="275"/>
        <v>786.02923903053897</v>
      </c>
      <c r="K628" s="307">
        <f t="shared" ca="1" si="276"/>
        <v>-9.5628354986314594</v>
      </c>
      <c r="L628" s="304">
        <f t="shared" ca="1" si="261"/>
        <v>786.08740762952186</v>
      </c>
      <c r="M628" s="306">
        <f t="shared" ca="1" si="277"/>
        <v>-1.4780961750049435</v>
      </c>
      <c r="N628" s="304">
        <f t="shared" ca="1" si="278"/>
        <v>-84.688672542213581</v>
      </c>
      <c r="P628" s="310">
        <f t="shared" ca="1" si="279"/>
        <v>23</v>
      </c>
      <c r="Q628" s="304">
        <f t="shared" ca="1" si="280"/>
        <v>0</v>
      </c>
      <c r="R628" s="306">
        <f t="shared" ca="1" si="281"/>
        <v>0</v>
      </c>
      <c r="S628" s="307">
        <f t="shared" ca="1" si="282"/>
        <v>7.4799999999999969</v>
      </c>
      <c r="T628" s="304">
        <f t="shared" ca="1" si="262"/>
        <v>73.37879999999997</v>
      </c>
      <c r="U628" s="311">
        <f t="shared" ca="1" si="263"/>
        <v>0</v>
      </c>
      <c r="V628" s="306">
        <f t="shared" ca="1" si="264"/>
        <v>1.2261720077344409</v>
      </c>
      <c r="W628" s="304">
        <f t="shared" ca="1" si="265"/>
        <v>57.941186994775954</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2.0217663577097955</v>
      </c>
      <c r="AH628" s="304">
        <f t="shared" ca="1" si="289"/>
        <v>-7.7461129166728924</v>
      </c>
    </row>
    <row r="629" spans="1:34" x14ac:dyDescent="0.2">
      <c r="A629" s="347">
        <f t="shared" ca="1" si="267"/>
        <v>1E-4</v>
      </c>
      <c r="B629" s="304">
        <f t="shared" ca="1" si="268"/>
        <v>34.709800000000548</v>
      </c>
      <c r="D629" s="306">
        <f t="shared" ca="1" si="269"/>
        <v>-0.71704110392242859</v>
      </c>
      <c r="E629" s="307">
        <f t="shared" ca="1" si="270"/>
        <v>-2.0971107359483376</v>
      </c>
      <c r="F629" s="304">
        <f t="shared" ca="1" si="271"/>
        <v>2.2163080524927201</v>
      </c>
      <c r="G629" s="306">
        <f t="shared" ca="1" si="272"/>
        <v>11.297319882586917</v>
      </c>
      <c r="H629" s="307">
        <f t="shared" ca="1" si="273"/>
        <v>-121.52117943535842</v>
      </c>
      <c r="I629" s="304">
        <f t="shared" ca="1" si="274"/>
        <v>122.04518215763403</v>
      </c>
      <c r="J629" s="306">
        <f t="shared" ca="1" si="275"/>
        <v>786.02923903053897</v>
      </c>
      <c r="K629" s="307">
        <f t="shared" ca="1" si="276"/>
        <v>-9.5749876060894419</v>
      </c>
      <c r="L629" s="304">
        <f t="shared" ca="1" si="261"/>
        <v>786.08755555509526</v>
      </c>
      <c r="M629" s="306">
        <f t="shared" ca="1" si="277"/>
        <v>-1.4780969190626674</v>
      </c>
      <c r="N629" s="304">
        <f t="shared" ca="1" si="278"/>
        <v>-84.688715173580874</v>
      </c>
      <c r="P629" s="310">
        <f t="shared" ca="1" si="279"/>
        <v>23</v>
      </c>
      <c r="Q629" s="304">
        <f t="shared" ca="1" si="280"/>
        <v>0</v>
      </c>
      <c r="R629" s="306">
        <f t="shared" ca="1" si="281"/>
        <v>0</v>
      </c>
      <c r="S629" s="307">
        <f t="shared" ca="1" si="282"/>
        <v>7.4799999999999969</v>
      </c>
      <c r="T629" s="304">
        <f t="shared" ca="1" si="262"/>
        <v>73.37879999999997</v>
      </c>
      <c r="U629" s="311">
        <f t="shared" ca="1" si="263"/>
        <v>0</v>
      </c>
      <c r="V629" s="306">
        <f t="shared" ca="1" si="264"/>
        <v>1.2261734977930874</v>
      </c>
      <c r="W629" s="304">
        <f t="shared" ca="1" si="265"/>
        <v>57.94144937056393</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2.0217319561067626</v>
      </c>
      <c r="AH629" s="304">
        <f t="shared" ca="1" si="289"/>
        <v>-7.7461479939540077</v>
      </c>
    </row>
    <row r="630" spans="1:34" x14ac:dyDescent="0.2">
      <c r="A630" s="347">
        <f t="shared" ca="1" si="267"/>
        <v>1E-4</v>
      </c>
      <c r="B630" s="304">
        <f t="shared" ca="1" si="268"/>
        <v>34.709900000000552</v>
      </c>
      <c r="D630" s="306">
        <f t="shared" ca="1" si="269"/>
        <v>-0.71703861204744102</v>
      </c>
      <c r="E630" s="307">
        <f t="shared" ca="1" si="270"/>
        <v>-2.0970752760569971</v>
      </c>
      <c r="F630" s="304">
        <f t="shared" ca="1" si="271"/>
        <v>2.2162736935262419</v>
      </c>
      <c r="G630" s="306">
        <f t="shared" ca="1" si="272"/>
        <v>11.297248178725713</v>
      </c>
      <c r="H630" s="307">
        <f t="shared" ca="1" si="273"/>
        <v>-121.52138914288602</v>
      </c>
      <c r="I630" s="304">
        <f t="shared" ca="1" si="274"/>
        <v>122.04538432742329</v>
      </c>
      <c r="J630" s="306">
        <f t="shared" ca="1" si="275"/>
        <v>786.02923903053897</v>
      </c>
      <c r="K630" s="307">
        <f t="shared" ca="1" si="276"/>
        <v>-9.5871397345183542</v>
      </c>
      <c r="L630" s="304">
        <f t="shared" ca="1" si="261"/>
        <v>786.08770366875558</v>
      </c>
      <c r="M630" s="306">
        <f t="shared" ca="1" si="277"/>
        <v>-1.4780976631132037</v>
      </c>
      <c r="N630" s="304">
        <f t="shared" ca="1" si="278"/>
        <v>-84.688757804536351</v>
      </c>
      <c r="P630" s="310">
        <f t="shared" ca="1" si="279"/>
        <v>23</v>
      </c>
      <c r="Q630" s="304">
        <f t="shared" ca="1" si="280"/>
        <v>0</v>
      </c>
      <c r="R630" s="306">
        <f t="shared" ca="1" si="281"/>
        <v>0</v>
      </c>
      <c r="S630" s="307">
        <f t="shared" ca="1" si="282"/>
        <v>7.4799999999999969</v>
      </c>
      <c r="T630" s="304">
        <f t="shared" ca="1" si="262"/>
        <v>73.37879999999997</v>
      </c>
      <c r="U630" s="311">
        <f t="shared" ca="1" si="263"/>
        <v>0</v>
      </c>
      <c r="V630" s="306">
        <f t="shared" ca="1" si="264"/>
        <v>1.2261749878561166</v>
      </c>
      <c r="W630" s="304">
        <f t="shared" ca="1" si="265"/>
        <v>57.941711744077111</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2.0216975547959093</v>
      </c>
      <c r="AH630" s="304">
        <f t="shared" ca="1" si="289"/>
        <v>-7.7461830709310098</v>
      </c>
    </row>
    <row r="631" spans="1:34" x14ac:dyDescent="0.2">
      <c r="A631" s="347">
        <f t="shared" ca="1" si="267"/>
        <v>1E-4</v>
      </c>
      <c r="B631" s="304">
        <f t="shared" ca="1" si="268"/>
        <v>34.710000000000555</v>
      </c>
      <c r="D631" s="306">
        <f t="shared" ca="1" si="269"/>
        <v>-0.71703612014736884</v>
      </c>
      <c r="E631" s="307">
        <f t="shared" ca="1" si="270"/>
        <v>-2.0970398164730604</v>
      </c>
      <c r="F631" s="304">
        <f t="shared" ca="1" si="271"/>
        <v>2.2162393348800031</v>
      </c>
      <c r="G631" s="306">
        <f t="shared" ca="1" si="272"/>
        <v>11.297176475113698</v>
      </c>
      <c r="H631" s="307">
        <f t="shared" ca="1" si="273"/>
        <v>-121.52159884686768</v>
      </c>
      <c r="I631" s="304">
        <f t="shared" ca="1" si="274"/>
        <v>122.04558649377246</v>
      </c>
      <c r="J631" s="306">
        <f t="shared" ca="1" si="275"/>
        <v>786.02923903053897</v>
      </c>
      <c r="K631" s="307">
        <f t="shared" ca="1" si="276"/>
        <v>-9.5992918839178412</v>
      </c>
      <c r="L631" s="304">
        <f t="shared" ca="1" si="261"/>
        <v>786.08785197050395</v>
      </c>
      <c r="M631" s="306">
        <f t="shared" ca="1" si="277"/>
        <v>-1.4780984071565524</v>
      </c>
      <c r="N631" s="304">
        <f t="shared" ca="1" si="278"/>
        <v>-84.688800435080012</v>
      </c>
      <c r="P631" s="310">
        <f t="shared" ca="1" si="279"/>
        <v>23</v>
      </c>
      <c r="Q631" s="304">
        <f t="shared" ca="1" si="280"/>
        <v>0</v>
      </c>
      <c r="R631" s="306">
        <f t="shared" ca="1" si="281"/>
        <v>0</v>
      </c>
      <c r="S631" s="307">
        <f t="shared" ca="1" si="282"/>
        <v>7.4799999999999969</v>
      </c>
      <c r="T631" s="304">
        <f t="shared" ca="1" si="262"/>
        <v>73.37879999999997</v>
      </c>
      <c r="U631" s="311">
        <f t="shared" ca="1" si="263"/>
        <v>0</v>
      </c>
      <c r="V631" s="306">
        <f t="shared" ca="1" si="264"/>
        <v>1.2261764779235294</v>
      </c>
      <c r="W631" s="304">
        <f t="shared" ca="1" si="265"/>
        <v>57.94197411531556</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2.0216631537772374</v>
      </c>
      <c r="AH631" s="304">
        <f t="shared" ca="1" si="289"/>
        <v>-7.7462181476038952</v>
      </c>
    </row>
    <row r="632" spans="1:34" x14ac:dyDescent="0.2">
      <c r="A632" s="347">
        <f t="shared" ca="1" si="267"/>
        <v>1E-4</v>
      </c>
      <c r="B632" s="304">
        <f t="shared" ca="1" si="268"/>
        <v>34.710100000000558</v>
      </c>
      <c r="D632" s="306">
        <f t="shared" ca="1" si="269"/>
        <v>-0.71703362822221406</v>
      </c>
      <c r="E632" s="307">
        <f t="shared" ca="1" si="270"/>
        <v>-2.0970043571965187</v>
      </c>
      <c r="F632" s="304">
        <f t="shared" ca="1" si="271"/>
        <v>2.2162049765539957</v>
      </c>
      <c r="G632" s="306">
        <f t="shared" ca="1" si="272"/>
        <v>11.297104771750876</v>
      </c>
      <c r="H632" s="307">
        <f t="shared" ca="1" si="273"/>
        <v>-121.52180854730339</v>
      </c>
      <c r="I632" s="304">
        <f t="shared" ca="1" si="274"/>
        <v>122.04578865668154</v>
      </c>
      <c r="J632" s="306">
        <f t="shared" ca="1" si="275"/>
        <v>786.02923903053897</v>
      </c>
      <c r="K632" s="307">
        <f t="shared" ca="1" si="276"/>
        <v>-9.6114440542875492</v>
      </c>
      <c r="L632" s="304">
        <f t="shared" ca="1" si="261"/>
        <v>786.08800046034094</v>
      </c>
      <c r="M632" s="306">
        <f t="shared" ca="1" si="277"/>
        <v>-1.4780991511927137</v>
      </c>
      <c r="N632" s="304">
        <f t="shared" ca="1" si="278"/>
        <v>-84.688843065211856</v>
      </c>
      <c r="P632" s="310">
        <f t="shared" ca="1" si="279"/>
        <v>23</v>
      </c>
      <c r="Q632" s="304">
        <f t="shared" ca="1" si="280"/>
        <v>0</v>
      </c>
      <c r="R632" s="306">
        <f t="shared" ca="1" si="281"/>
        <v>0</v>
      </c>
      <c r="S632" s="307">
        <f t="shared" ca="1" si="282"/>
        <v>7.4799999999999969</v>
      </c>
      <c r="T632" s="304">
        <f t="shared" ca="1" si="262"/>
        <v>73.37879999999997</v>
      </c>
      <c r="U632" s="311">
        <f t="shared" ca="1" si="263"/>
        <v>0</v>
      </c>
      <c r="V632" s="306">
        <f t="shared" ca="1" si="264"/>
        <v>1.2261779679953246</v>
      </c>
      <c r="W632" s="304">
        <f t="shared" ca="1" si="265"/>
        <v>57.942236484279199</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2.0216287530507389</v>
      </c>
      <c r="AH632" s="304">
        <f t="shared" ca="1" si="289"/>
        <v>-7.7462532239726718</v>
      </c>
    </row>
    <row r="633" spans="1:34" x14ac:dyDescent="0.2">
      <c r="A633" s="347">
        <f t="shared" ca="1" si="267"/>
        <v>1E-4</v>
      </c>
      <c r="B633" s="304">
        <f t="shared" ca="1" si="268"/>
        <v>34.710200000000562</v>
      </c>
      <c r="D633" s="306">
        <f t="shared" ca="1" si="269"/>
        <v>-0.71703113627197546</v>
      </c>
      <c r="E633" s="307">
        <f t="shared" ca="1" si="270"/>
        <v>-2.0969688982273818</v>
      </c>
      <c r="F633" s="304">
        <f t="shared" ca="1" si="271"/>
        <v>2.2161706185482291</v>
      </c>
      <c r="G633" s="306">
        <f t="shared" ca="1" si="272"/>
        <v>11.297033068637248</v>
      </c>
      <c r="H633" s="307">
        <f t="shared" ca="1" si="273"/>
        <v>-121.52201824419322</v>
      </c>
      <c r="I633" s="304">
        <f t="shared" ca="1" si="274"/>
        <v>122.04599081615059</v>
      </c>
      <c r="J633" s="306">
        <f t="shared" ca="1" si="275"/>
        <v>786.02923903053897</v>
      </c>
      <c r="K633" s="307">
        <f t="shared" ca="1" si="276"/>
        <v>-9.6235962456271249</v>
      </c>
      <c r="L633" s="304">
        <f t="shared" ca="1" si="261"/>
        <v>786.08814913826745</v>
      </c>
      <c r="M633" s="306">
        <f t="shared" ca="1" si="277"/>
        <v>-1.4780998952216879</v>
      </c>
      <c r="N633" s="304">
        <f t="shared" ca="1" si="278"/>
        <v>-84.688885694931912</v>
      </c>
      <c r="P633" s="310">
        <f t="shared" ca="1" si="279"/>
        <v>23</v>
      </c>
      <c r="Q633" s="304">
        <f t="shared" ca="1" si="280"/>
        <v>0</v>
      </c>
      <c r="R633" s="306">
        <f t="shared" ca="1" si="281"/>
        <v>0</v>
      </c>
      <c r="S633" s="307">
        <f t="shared" ca="1" si="282"/>
        <v>7.4799999999999969</v>
      </c>
      <c r="T633" s="304">
        <f t="shared" ca="1" si="262"/>
        <v>73.37879999999997</v>
      </c>
      <c r="U633" s="311">
        <f t="shared" ca="1" si="263"/>
        <v>0</v>
      </c>
      <c r="V633" s="306">
        <f t="shared" ca="1" si="264"/>
        <v>1.2261794580715029</v>
      </c>
      <c r="W633" s="304">
        <f t="shared" ca="1" si="265"/>
        <v>57.942498850968086</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2.0215943526164279</v>
      </c>
      <c r="AH633" s="304">
        <f t="shared" ca="1" si="289"/>
        <v>-7.746288300037329</v>
      </c>
    </row>
    <row r="634" spans="1:34" x14ac:dyDescent="0.2">
      <c r="A634" s="347">
        <f t="shared" ca="1" si="267"/>
        <v>1E-4</v>
      </c>
      <c r="B634" s="304">
        <f t="shared" ca="1" si="268"/>
        <v>34.710300000000565</v>
      </c>
      <c r="D634" s="306">
        <f t="shared" ca="1" si="269"/>
        <v>-0.71702864429665358</v>
      </c>
      <c r="E634" s="307">
        <f t="shared" ca="1" si="270"/>
        <v>-2.0969334395656425</v>
      </c>
      <c r="F634" s="304">
        <f t="shared" ca="1" si="271"/>
        <v>2.2161362608626964</v>
      </c>
      <c r="G634" s="306">
        <f t="shared" ca="1" si="272"/>
        <v>11.296961365772818</v>
      </c>
      <c r="H634" s="307">
        <f t="shared" ca="1" si="273"/>
        <v>-121.52222793753718</v>
      </c>
      <c r="I634" s="304">
        <f t="shared" ca="1" si="274"/>
        <v>122.04619297217963</v>
      </c>
      <c r="J634" s="306">
        <f t="shared" ca="1" si="275"/>
        <v>786.02923903053897</v>
      </c>
      <c r="K634" s="307">
        <f t="shared" ca="1" si="276"/>
        <v>-9.6357484579362112</v>
      </c>
      <c r="L634" s="304">
        <f t="shared" ca="1" si="261"/>
        <v>786.08829800428452</v>
      </c>
      <c r="M634" s="306">
        <f t="shared" ca="1" si="277"/>
        <v>-1.4781006392434748</v>
      </c>
      <c r="N634" s="304">
        <f t="shared" ca="1" si="278"/>
        <v>-84.688928324240166</v>
      </c>
      <c r="P634" s="310">
        <f t="shared" ca="1" si="279"/>
        <v>23</v>
      </c>
      <c r="Q634" s="304">
        <f t="shared" ca="1" si="280"/>
        <v>0</v>
      </c>
      <c r="R634" s="306">
        <f t="shared" ca="1" si="281"/>
        <v>0</v>
      </c>
      <c r="S634" s="307">
        <f t="shared" ca="1" si="282"/>
        <v>7.4799999999999969</v>
      </c>
      <c r="T634" s="304">
        <f t="shared" ca="1" si="262"/>
        <v>73.37879999999997</v>
      </c>
      <c r="U634" s="311">
        <f t="shared" ca="1" si="263"/>
        <v>0</v>
      </c>
      <c r="V634" s="306">
        <f t="shared" ca="1" si="264"/>
        <v>1.226180948152064</v>
      </c>
      <c r="W634" s="304">
        <f t="shared" ca="1" si="265"/>
        <v>57.942761215382205</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2.0215599524742922</v>
      </c>
      <c r="AH634" s="304">
        <f t="shared" ca="1" si="289"/>
        <v>-7.7463233757978758</v>
      </c>
    </row>
    <row r="635" spans="1:34" x14ac:dyDescent="0.2">
      <c r="A635" s="347">
        <f t="shared" ca="1" si="267"/>
        <v>1E-4</v>
      </c>
      <c r="B635" s="304">
        <f t="shared" ca="1" si="268"/>
        <v>34.710400000000568</v>
      </c>
      <c r="D635" s="306">
        <f t="shared" ca="1" si="269"/>
        <v>-0.71702615229625122</v>
      </c>
      <c r="E635" s="307">
        <f t="shared" ca="1" si="270"/>
        <v>-2.0968979812113036</v>
      </c>
      <c r="F635" s="304">
        <f t="shared" ca="1" si="271"/>
        <v>2.2161019034974019</v>
      </c>
      <c r="G635" s="306">
        <f t="shared" ca="1" si="272"/>
        <v>11.296889663157588</v>
      </c>
      <c r="H635" s="307">
        <f t="shared" ca="1" si="273"/>
        <v>-121.52243762733531</v>
      </c>
      <c r="I635" s="304">
        <f t="shared" ca="1" si="274"/>
        <v>122.04639512476867</v>
      </c>
      <c r="J635" s="306">
        <f t="shared" ca="1" si="275"/>
        <v>786.02923903053897</v>
      </c>
      <c r="K635" s="307">
        <f t="shared" ca="1" si="276"/>
        <v>-9.6479006912144545</v>
      </c>
      <c r="L635" s="304">
        <f t="shared" ca="1" si="261"/>
        <v>786.08844705839294</v>
      </c>
      <c r="M635" s="306">
        <f t="shared" ca="1" si="277"/>
        <v>-1.4781013832580747</v>
      </c>
      <c r="N635" s="304">
        <f t="shared" ca="1" si="278"/>
        <v>-84.688970953136646</v>
      </c>
      <c r="P635" s="310">
        <f t="shared" ca="1" si="279"/>
        <v>23</v>
      </c>
      <c r="Q635" s="304">
        <f t="shared" ca="1" si="280"/>
        <v>0</v>
      </c>
      <c r="R635" s="306">
        <f t="shared" ca="1" si="281"/>
        <v>0</v>
      </c>
      <c r="S635" s="307">
        <f t="shared" ca="1" si="282"/>
        <v>7.4799999999999969</v>
      </c>
      <c r="T635" s="304">
        <f t="shared" ca="1" si="262"/>
        <v>73.37879999999997</v>
      </c>
      <c r="U635" s="311">
        <f t="shared" ca="1" si="263"/>
        <v>0</v>
      </c>
      <c r="V635" s="306">
        <f t="shared" ca="1" si="264"/>
        <v>1.2261824382370083</v>
      </c>
      <c r="W635" s="304">
        <f t="shared" ca="1" si="265"/>
        <v>57.943023577521572</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2.021525552624337</v>
      </c>
      <c r="AH635" s="304">
        <f t="shared" ca="1" si="289"/>
        <v>-7.7463584512543084</v>
      </c>
    </row>
    <row r="636" spans="1:34" x14ac:dyDescent="0.2">
      <c r="A636" s="347">
        <f t="shared" ca="1" si="267"/>
        <v>1E-4</v>
      </c>
      <c r="B636" s="304">
        <f t="shared" ca="1" si="268"/>
        <v>34.710500000000572</v>
      </c>
      <c r="D636" s="306">
        <f t="shared" ca="1" si="269"/>
        <v>-0.71702366027076658</v>
      </c>
      <c r="E636" s="307">
        <f t="shared" ca="1" si="270"/>
        <v>-2.0968625231643605</v>
      </c>
      <c r="F636" s="304">
        <f t="shared" ca="1" si="271"/>
        <v>2.2160675464523405</v>
      </c>
      <c r="G636" s="306">
        <f t="shared" ca="1" si="272"/>
        <v>11.296817960791561</v>
      </c>
      <c r="H636" s="307">
        <f t="shared" ca="1" si="273"/>
        <v>-121.52264731358763</v>
      </c>
      <c r="I636" s="304">
        <f t="shared" ca="1" si="274"/>
        <v>122.04659727391775</v>
      </c>
      <c r="J636" s="306">
        <f t="shared" ca="1" si="275"/>
        <v>786.02923903053897</v>
      </c>
      <c r="K636" s="307">
        <f t="shared" ca="1" si="276"/>
        <v>-9.6600529454615014</v>
      </c>
      <c r="L636" s="304">
        <f t="shared" ca="1" si="261"/>
        <v>786.08859630059339</v>
      </c>
      <c r="M636" s="306">
        <f t="shared" ca="1" si="277"/>
        <v>-1.4781021272654875</v>
      </c>
      <c r="N636" s="304">
        <f t="shared" ca="1" si="278"/>
        <v>-84.689013581621325</v>
      </c>
      <c r="P636" s="310">
        <f t="shared" ca="1" si="279"/>
        <v>23</v>
      </c>
      <c r="Q636" s="304">
        <f t="shared" ca="1" si="280"/>
        <v>0</v>
      </c>
      <c r="R636" s="306">
        <f t="shared" ca="1" si="281"/>
        <v>0</v>
      </c>
      <c r="S636" s="307">
        <f t="shared" ca="1" si="282"/>
        <v>7.4799999999999969</v>
      </c>
      <c r="T636" s="304">
        <f t="shared" ca="1" si="262"/>
        <v>73.37879999999997</v>
      </c>
      <c r="U636" s="311">
        <f t="shared" ca="1" si="263"/>
        <v>0</v>
      </c>
      <c r="V636" s="306">
        <f t="shared" ca="1" si="264"/>
        <v>1.2261839283263349</v>
      </c>
      <c r="W636" s="304">
        <f t="shared" ca="1" si="265"/>
        <v>57.94328593738615</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2.0214911530665605</v>
      </c>
      <c r="AH636" s="304">
        <f t="shared" ca="1" si="289"/>
        <v>-7.7463935264066306</v>
      </c>
    </row>
    <row r="637" spans="1:34" x14ac:dyDescent="0.2">
      <c r="A637" s="347">
        <f t="shared" ca="1" si="267"/>
        <v>1E-4</v>
      </c>
      <c r="B637" s="304">
        <f t="shared" ca="1" si="268"/>
        <v>34.710600000000575</v>
      </c>
      <c r="D637" s="306">
        <f t="shared" ca="1" si="269"/>
        <v>-0.71702116822020268</v>
      </c>
      <c r="E637" s="307">
        <f t="shared" ca="1" si="270"/>
        <v>-2.0968270654248204</v>
      </c>
      <c r="F637" s="304">
        <f t="shared" ca="1" si="271"/>
        <v>2.2160331897275203</v>
      </c>
      <c r="G637" s="306">
        <f t="shared" ca="1" si="272"/>
        <v>11.296746258674739</v>
      </c>
      <c r="H637" s="307">
        <f t="shared" ca="1" si="273"/>
        <v>-121.52285699629417</v>
      </c>
      <c r="I637" s="304">
        <f t="shared" ca="1" si="274"/>
        <v>122.04679941962691</v>
      </c>
      <c r="J637" s="306">
        <f t="shared" ca="1" si="275"/>
        <v>786.02923903053897</v>
      </c>
      <c r="K637" s="307">
        <f t="shared" ca="1" si="276"/>
        <v>-9.6722052206769948</v>
      </c>
      <c r="L637" s="304">
        <f t="shared" ca="1" si="261"/>
        <v>786.08874573088701</v>
      </c>
      <c r="M637" s="306">
        <f t="shared" ca="1" si="277"/>
        <v>-1.4781028712657136</v>
      </c>
      <c r="N637" s="304">
        <f t="shared" ca="1" si="278"/>
        <v>-84.689056209694229</v>
      </c>
      <c r="P637" s="310">
        <f t="shared" ca="1" si="279"/>
        <v>23</v>
      </c>
      <c r="Q637" s="304">
        <f t="shared" ca="1" si="280"/>
        <v>0</v>
      </c>
      <c r="R637" s="306">
        <f t="shared" ca="1" si="281"/>
        <v>0</v>
      </c>
      <c r="S637" s="307">
        <f t="shared" ca="1" si="282"/>
        <v>7.4799999999999969</v>
      </c>
      <c r="T637" s="304">
        <f t="shared" ca="1" si="262"/>
        <v>73.37879999999997</v>
      </c>
      <c r="U637" s="311">
        <f t="shared" ca="1" si="263"/>
        <v>0</v>
      </c>
      <c r="V637" s="306">
        <f t="shared" ca="1" si="264"/>
        <v>1.2261854184200447</v>
      </c>
      <c r="W637" s="304">
        <f t="shared" ca="1" si="265"/>
        <v>57.943548294975976</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2.0214567538009671</v>
      </c>
      <c r="AH637" s="304">
        <f t="shared" ca="1" si="289"/>
        <v>-7.746428601254836</v>
      </c>
    </row>
    <row r="638" spans="1:34" x14ac:dyDescent="0.2">
      <c r="A638" s="347">
        <f t="shared" ca="1" si="267"/>
        <v>1E-4</v>
      </c>
      <c r="B638" s="304">
        <f t="shared" ca="1" si="268"/>
        <v>34.710700000000578</v>
      </c>
      <c r="D638" s="306">
        <f t="shared" ca="1" si="269"/>
        <v>-0.71701867614455772</v>
      </c>
      <c r="E638" s="307">
        <f t="shared" ca="1" si="270"/>
        <v>-2.0967916079926772</v>
      </c>
      <c r="F638" s="304">
        <f t="shared" ca="1" si="271"/>
        <v>2.2159988333229355</v>
      </c>
      <c r="G638" s="306">
        <f t="shared" ca="1" si="272"/>
        <v>11.296674556807124</v>
      </c>
      <c r="H638" s="307">
        <f t="shared" ca="1" si="273"/>
        <v>-121.52306667545497</v>
      </c>
      <c r="I638" s="304">
        <f t="shared" ca="1" si="274"/>
        <v>122.04700156189618</v>
      </c>
      <c r="J638" s="306">
        <f t="shared" ca="1" si="275"/>
        <v>786.02923903053897</v>
      </c>
      <c r="K638" s="307">
        <f t="shared" ca="1" si="276"/>
        <v>-9.6843575168605831</v>
      </c>
      <c r="L638" s="304">
        <f t="shared" ca="1" si="261"/>
        <v>786.08889534927448</v>
      </c>
      <c r="M638" s="306">
        <f t="shared" ca="1" si="277"/>
        <v>-1.4781036152587528</v>
      </c>
      <c r="N638" s="304">
        <f t="shared" ca="1" si="278"/>
        <v>-84.68909883735536</v>
      </c>
      <c r="P638" s="310">
        <f t="shared" ca="1" si="279"/>
        <v>23</v>
      </c>
      <c r="Q638" s="304">
        <f t="shared" ca="1" si="280"/>
        <v>0</v>
      </c>
      <c r="R638" s="306">
        <f t="shared" ca="1" si="281"/>
        <v>0</v>
      </c>
      <c r="S638" s="307">
        <f t="shared" ca="1" si="282"/>
        <v>7.4799999999999969</v>
      </c>
      <c r="T638" s="304">
        <f t="shared" ca="1" si="262"/>
        <v>73.37879999999997</v>
      </c>
      <c r="U638" s="311">
        <f t="shared" ca="1" si="263"/>
        <v>0</v>
      </c>
      <c r="V638" s="306">
        <f t="shared" ca="1" si="264"/>
        <v>1.2261869085181369</v>
      </c>
      <c r="W638" s="304">
        <f t="shared" ca="1" si="265"/>
        <v>57.943810650291034</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2.021422354827549</v>
      </c>
      <c r="AH638" s="304">
        <f t="shared" ca="1" si="289"/>
        <v>-7.7464636757989309</v>
      </c>
    </row>
    <row r="639" spans="1:34" x14ac:dyDescent="0.2">
      <c r="A639" s="347">
        <f t="shared" ca="1" si="267"/>
        <v>1E-4</v>
      </c>
      <c r="B639" s="304">
        <f t="shared" ca="1" si="268"/>
        <v>34.710800000000582</v>
      </c>
      <c r="D639" s="306">
        <f t="shared" ca="1" si="269"/>
        <v>-0.71701618404383438</v>
      </c>
      <c r="E639" s="307">
        <f t="shared" ca="1" si="270"/>
        <v>-2.0967561508679351</v>
      </c>
      <c r="F639" s="304">
        <f t="shared" ca="1" si="271"/>
        <v>2.2159644772385909</v>
      </c>
      <c r="G639" s="306">
        <f t="shared" ca="1" si="272"/>
        <v>11.29660285518872</v>
      </c>
      <c r="H639" s="307">
        <f t="shared" ca="1" si="273"/>
        <v>-121.52327635107005</v>
      </c>
      <c r="I639" s="304">
        <f t="shared" ca="1" si="274"/>
        <v>122.04720370072556</v>
      </c>
      <c r="J639" s="306">
        <f t="shared" ca="1" si="275"/>
        <v>786.02923903053897</v>
      </c>
      <c r="K639" s="307">
        <f t="shared" ca="1" si="276"/>
        <v>-9.6965098340119091</v>
      </c>
      <c r="L639" s="304">
        <f t="shared" ca="1" si="261"/>
        <v>786.08904515575671</v>
      </c>
      <c r="M639" s="306">
        <f t="shared" ca="1" si="277"/>
        <v>-1.4781043592446053</v>
      </c>
      <c r="N639" s="304">
        <f t="shared" ca="1" si="278"/>
        <v>-84.689141464604731</v>
      </c>
      <c r="P639" s="310">
        <f t="shared" ca="1" si="279"/>
        <v>23</v>
      </c>
      <c r="Q639" s="304">
        <f t="shared" ca="1" si="280"/>
        <v>0</v>
      </c>
      <c r="R639" s="306">
        <f t="shared" ca="1" si="281"/>
        <v>0</v>
      </c>
      <c r="S639" s="307">
        <f t="shared" ca="1" si="282"/>
        <v>7.4799999999999969</v>
      </c>
      <c r="T639" s="304">
        <f t="shared" ca="1" si="262"/>
        <v>73.37879999999997</v>
      </c>
      <c r="U639" s="311">
        <f t="shared" ca="1" si="263"/>
        <v>0</v>
      </c>
      <c r="V639" s="306">
        <f t="shared" ca="1" si="264"/>
        <v>1.2261883986206119</v>
      </c>
      <c r="W639" s="304">
        <f t="shared" ca="1" si="265"/>
        <v>57.944073003331312</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2.0213879561463148</v>
      </c>
      <c r="AH639" s="304">
        <f t="shared" ca="1" si="289"/>
        <v>-7.7464987500389118</v>
      </c>
    </row>
    <row r="640" spans="1:34" x14ac:dyDescent="0.2">
      <c r="A640" s="347">
        <f t="shared" ca="1" si="267"/>
        <v>1E-4</v>
      </c>
      <c r="B640" s="304">
        <f t="shared" ca="1" si="268"/>
        <v>34.710900000000585</v>
      </c>
      <c r="D640" s="306">
        <f t="shared" ca="1" si="269"/>
        <v>-0.71701369191803277</v>
      </c>
      <c r="E640" s="307">
        <f t="shared" ca="1" si="270"/>
        <v>-2.0967206940505942</v>
      </c>
      <c r="F640" s="304">
        <f t="shared" ca="1" si="271"/>
        <v>2.2159301214744866</v>
      </c>
      <c r="G640" s="306">
        <f t="shared" ca="1" si="272"/>
        <v>11.296531153819528</v>
      </c>
      <c r="H640" s="307">
        <f t="shared" ca="1" si="273"/>
        <v>-121.52348602313945</v>
      </c>
      <c r="I640" s="304">
        <f t="shared" ca="1" si="274"/>
        <v>122.04740583611512</v>
      </c>
      <c r="J640" s="306">
        <f t="shared" ca="1" si="275"/>
        <v>786.02923903053897</v>
      </c>
      <c r="K640" s="307">
        <f t="shared" ca="1" si="276"/>
        <v>-9.7086621721306194</v>
      </c>
      <c r="L640" s="304">
        <f t="shared" ca="1" si="261"/>
        <v>786.0891951503346</v>
      </c>
      <c r="M640" s="306">
        <f t="shared" ca="1" si="277"/>
        <v>-1.4781051032232713</v>
      </c>
      <c r="N640" s="304">
        <f t="shared" ca="1" si="278"/>
        <v>-84.689184091442343</v>
      </c>
      <c r="P640" s="310">
        <f t="shared" ca="1" si="279"/>
        <v>23</v>
      </c>
      <c r="Q640" s="304">
        <f t="shared" ca="1" si="280"/>
        <v>0</v>
      </c>
      <c r="R640" s="306">
        <f t="shared" ca="1" si="281"/>
        <v>0</v>
      </c>
      <c r="S640" s="307">
        <f t="shared" ca="1" si="282"/>
        <v>7.4799999999999969</v>
      </c>
      <c r="T640" s="304">
        <f t="shared" ca="1" si="262"/>
        <v>73.37879999999997</v>
      </c>
      <c r="U640" s="311">
        <f t="shared" ca="1" si="263"/>
        <v>0</v>
      </c>
      <c r="V640" s="306">
        <f t="shared" ca="1" si="264"/>
        <v>1.22618988872747</v>
      </c>
      <c r="W640" s="304">
        <f t="shared" ca="1" si="265"/>
        <v>57.944335354096879</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2.0213535577572621</v>
      </c>
      <c r="AH640" s="304">
        <f t="shared" ca="1" si="289"/>
        <v>-7.7465338239747776</v>
      </c>
    </row>
    <row r="641" spans="1:34" x14ac:dyDescent="0.2">
      <c r="A641" s="347">
        <f t="shared" ca="1" si="267"/>
        <v>1E-4</v>
      </c>
      <c r="B641" s="304">
        <f t="shared" ca="1" si="268"/>
        <v>34.711000000000588</v>
      </c>
      <c r="D641" s="306">
        <f t="shared" ca="1" si="269"/>
        <v>-0.71701119976715322</v>
      </c>
      <c r="E641" s="307">
        <f t="shared" ca="1" si="270"/>
        <v>-2.096685237540644</v>
      </c>
      <c r="F641" s="304">
        <f t="shared" ca="1" si="271"/>
        <v>2.2158957660306133</v>
      </c>
      <c r="G641" s="306">
        <f t="shared" ca="1" si="272"/>
        <v>11.296459452699551</v>
      </c>
      <c r="H641" s="307">
        <f t="shared" ca="1" si="273"/>
        <v>-121.52369569166321</v>
      </c>
      <c r="I641" s="304">
        <f t="shared" ca="1" si="274"/>
        <v>122.04760796806487</v>
      </c>
      <c r="J641" s="306">
        <f t="shared" ca="1" si="275"/>
        <v>786.02923903053897</v>
      </c>
      <c r="K641" s="307">
        <f t="shared" ca="1" si="276"/>
        <v>-9.7208145312163587</v>
      </c>
      <c r="L641" s="304">
        <f t="shared" ca="1" si="261"/>
        <v>786.08934533300885</v>
      </c>
      <c r="M641" s="306">
        <f t="shared" ca="1" si="277"/>
        <v>-1.4781058471947506</v>
      </c>
      <c r="N641" s="304">
        <f t="shared" ca="1" si="278"/>
        <v>-84.689226717868181</v>
      </c>
      <c r="P641" s="310">
        <f t="shared" ca="1" si="279"/>
        <v>23</v>
      </c>
      <c r="Q641" s="304">
        <f t="shared" ca="1" si="280"/>
        <v>0</v>
      </c>
      <c r="R641" s="306">
        <f t="shared" ca="1" si="281"/>
        <v>0</v>
      </c>
      <c r="S641" s="307">
        <f t="shared" ca="1" si="282"/>
        <v>7.4799999999999969</v>
      </c>
      <c r="T641" s="304">
        <f t="shared" ca="1" si="262"/>
        <v>73.37879999999997</v>
      </c>
      <c r="U641" s="311">
        <f t="shared" ca="1" si="263"/>
        <v>0</v>
      </c>
      <c r="V641" s="306">
        <f t="shared" ca="1" si="264"/>
        <v>1.2261913788387107</v>
      </c>
      <c r="W641" s="304">
        <f t="shared" ca="1" si="265"/>
        <v>57.944597702587672</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2.0213191596603837</v>
      </c>
      <c r="AH641" s="304">
        <f t="shared" ca="1" si="289"/>
        <v>-7.7465688976065374</v>
      </c>
    </row>
    <row r="642" spans="1:34" x14ac:dyDescent="0.2">
      <c r="A642" s="347">
        <f t="shared" ca="1" si="267"/>
        <v>1E-4</v>
      </c>
      <c r="B642" s="304">
        <f t="shared" ca="1" si="268"/>
        <v>34.711100000000592</v>
      </c>
      <c r="D642" s="306">
        <f t="shared" ca="1" si="269"/>
        <v>-0.71700870759119828</v>
      </c>
      <c r="E642" s="307">
        <f t="shared" ca="1" si="270"/>
        <v>-2.0966497813380949</v>
      </c>
      <c r="F642" s="304">
        <f t="shared" ca="1" si="271"/>
        <v>2.2158614109069821</v>
      </c>
      <c r="G642" s="306">
        <f t="shared" ca="1" si="272"/>
        <v>11.296387751828792</v>
      </c>
      <c r="H642" s="307">
        <f t="shared" ca="1" si="273"/>
        <v>-121.52390535664134</v>
      </c>
      <c r="I642" s="304">
        <f t="shared" ca="1" si="274"/>
        <v>122.04781009657481</v>
      </c>
      <c r="J642" s="306">
        <f t="shared" ca="1" si="275"/>
        <v>786.02923903053897</v>
      </c>
      <c r="K642" s="307">
        <f t="shared" ca="1" si="276"/>
        <v>-9.7329669112687736</v>
      </c>
      <c r="L642" s="304">
        <f t="shared" ca="1" si="261"/>
        <v>786.08949570378059</v>
      </c>
      <c r="M642" s="306">
        <f t="shared" ca="1" si="277"/>
        <v>-1.4781065911590436</v>
      </c>
      <c r="N642" s="304">
        <f t="shared" ca="1" si="278"/>
        <v>-84.689269343882287</v>
      </c>
      <c r="P642" s="310">
        <f t="shared" ca="1" si="279"/>
        <v>23</v>
      </c>
      <c r="Q642" s="304">
        <f t="shared" ca="1" si="280"/>
        <v>0</v>
      </c>
      <c r="R642" s="306">
        <f t="shared" ca="1" si="281"/>
        <v>0</v>
      </c>
      <c r="S642" s="307">
        <f t="shared" ca="1" si="282"/>
        <v>7.4799999999999969</v>
      </c>
      <c r="T642" s="304">
        <f t="shared" ca="1" si="262"/>
        <v>73.37879999999997</v>
      </c>
      <c r="U642" s="311">
        <f t="shared" ca="1" si="263"/>
        <v>0</v>
      </c>
      <c r="V642" s="306">
        <f t="shared" ca="1" si="264"/>
        <v>1.2261928689543338</v>
      </c>
      <c r="W642" s="304">
        <f t="shared" ca="1" si="265"/>
        <v>57.944860048803676</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2.0212847618556866</v>
      </c>
      <c r="AH642" s="304">
        <f t="shared" ca="1" si="289"/>
        <v>-7.7466039709341841</v>
      </c>
    </row>
    <row r="643" spans="1:34" x14ac:dyDescent="0.2">
      <c r="A643" s="347">
        <f t="shared" ca="1" si="267"/>
        <v>1E-4</v>
      </c>
      <c r="B643" s="304">
        <f t="shared" ca="1" si="268"/>
        <v>34.711200000000595</v>
      </c>
      <c r="D643" s="306">
        <f t="shared" ca="1" si="269"/>
        <v>-0.7170062153901654</v>
      </c>
      <c r="E643" s="307">
        <f t="shared" ca="1" si="270"/>
        <v>-2.0966143254429479</v>
      </c>
      <c r="F643" s="304">
        <f t="shared" ca="1" si="271"/>
        <v>2.2158270561035933</v>
      </c>
      <c r="G643" s="306">
        <f t="shared" ca="1" si="272"/>
        <v>11.296316051207253</v>
      </c>
      <c r="H643" s="307">
        <f t="shared" ca="1" si="273"/>
        <v>-121.52411501807389</v>
      </c>
      <c r="I643" s="304">
        <f t="shared" ca="1" si="274"/>
        <v>122.04801222164502</v>
      </c>
      <c r="J643" s="306">
        <f t="shared" ca="1" si="275"/>
        <v>786.02923903053897</v>
      </c>
      <c r="K643" s="307">
        <f t="shared" ca="1" si="276"/>
        <v>-9.7451193122875086</v>
      </c>
      <c r="L643" s="304">
        <f t="shared" ca="1" si="261"/>
        <v>786.08964626265049</v>
      </c>
      <c r="M643" s="306">
        <f t="shared" ca="1" si="277"/>
        <v>-1.4781073351161507</v>
      </c>
      <c r="N643" s="304">
        <f t="shared" ca="1" si="278"/>
        <v>-84.689311969484649</v>
      </c>
      <c r="P643" s="310">
        <f t="shared" ca="1" si="279"/>
        <v>23</v>
      </c>
      <c r="Q643" s="304">
        <f t="shared" ca="1" si="280"/>
        <v>0</v>
      </c>
      <c r="R643" s="306">
        <f t="shared" ca="1" si="281"/>
        <v>0</v>
      </c>
      <c r="S643" s="307">
        <f t="shared" ca="1" si="282"/>
        <v>7.4799999999999969</v>
      </c>
      <c r="T643" s="304">
        <f t="shared" ca="1" si="262"/>
        <v>73.37879999999997</v>
      </c>
      <c r="U643" s="311">
        <f t="shared" ca="1" si="263"/>
        <v>0</v>
      </c>
      <c r="V643" s="306">
        <f t="shared" ca="1" si="264"/>
        <v>1.2261943590743394</v>
      </c>
      <c r="W643" s="304">
        <f t="shared" ca="1" si="265"/>
        <v>57.945122392744942</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2.0212503643431745</v>
      </c>
      <c r="AH643" s="304">
        <f t="shared" ca="1" si="289"/>
        <v>-7.746639043957714</v>
      </c>
    </row>
    <row r="644" spans="1:34" x14ac:dyDescent="0.2">
      <c r="A644" s="347">
        <f t="shared" ca="1" si="267"/>
        <v>1E-4</v>
      </c>
      <c r="B644" s="304">
        <f t="shared" ca="1" si="268"/>
        <v>34.711300000000598</v>
      </c>
      <c r="D644" s="306">
        <f t="shared" ca="1" si="269"/>
        <v>-0.71700372316405514</v>
      </c>
      <c r="E644" s="307">
        <f t="shared" ca="1" si="270"/>
        <v>-2.0965788698551968</v>
      </c>
      <c r="F644" s="304">
        <f t="shared" ca="1" si="271"/>
        <v>2.2157927016204408</v>
      </c>
      <c r="G644" s="306">
        <f t="shared" ca="1" si="272"/>
        <v>11.296244350834936</v>
      </c>
      <c r="H644" s="307">
        <f t="shared" ca="1" si="273"/>
        <v>-121.52432467596087</v>
      </c>
      <c r="I644" s="304">
        <f t="shared" ca="1" si="274"/>
        <v>122.04821434327552</v>
      </c>
      <c r="J644" s="306">
        <f t="shared" ca="1" si="275"/>
        <v>786.02923903053897</v>
      </c>
      <c r="K644" s="307">
        <f t="shared" ca="1" si="276"/>
        <v>-9.7572717342722104</v>
      </c>
      <c r="L644" s="304">
        <f t="shared" ref="L644:L707" ca="1" si="290">SQRT(pos_x^2+pos_z^2)</f>
        <v>786.08979700961936</v>
      </c>
      <c r="M644" s="306">
        <f t="shared" ca="1" si="277"/>
        <v>-1.4781080790660712</v>
      </c>
      <c r="N644" s="304">
        <f t="shared" ca="1" si="278"/>
        <v>-84.689354594675265</v>
      </c>
      <c r="P644" s="310">
        <f t="shared" ca="1" si="279"/>
        <v>23</v>
      </c>
      <c r="Q644" s="304">
        <f t="shared" ca="1" si="280"/>
        <v>0</v>
      </c>
      <c r="R644" s="306">
        <f t="shared" ca="1" si="281"/>
        <v>0</v>
      </c>
      <c r="S644" s="307">
        <f t="shared" ca="1" si="282"/>
        <v>7.4799999999999969</v>
      </c>
      <c r="T644" s="304">
        <f t="shared" ref="T644:T707" ca="1" si="291">m*g</f>
        <v>73.37879999999997</v>
      </c>
      <c r="U644" s="311">
        <f t="shared" ref="U644:U707" ca="1" si="292">IF(pos_xz&lt;L_rampe,Poids*COS(Beta),0)</f>
        <v>0</v>
      </c>
      <c r="V644" s="306">
        <f t="shared" ref="V644:V707" ca="1" si="293">Rho_moyen*(20000-Alt_rampe-pos_z)/(20000+Alt_rampe+pos_z)</f>
        <v>1.2261958491987279</v>
      </c>
      <c r="W644" s="304">
        <f t="shared" ref="W644:W707" ca="1" si="294">1/2*Rho*Sref*Cx*vit_xz^2</f>
        <v>57.945384734411483</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2.021215967122842</v>
      </c>
      <c r="AH644" s="304">
        <f t="shared" ca="1" si="289"/>
        <v>-7.7466741166771342</v>
      </c>
    </row>
    <row r="645" spans="1:34" x14ac:dyDescent="0.2">
      <c r="A645" s="347">
        <f t="shared" ref="A645:A708" ca="1" si="296">IF(B644+0.01&lt;=T_ini+ROUNDUP(Temps_fin_propu,0), 0.01, IF(K644&gt;0, 0.1, 0.0001))</f>
        <v>1E-4</v>
      </c>
      <c r="B645" s="304">
        <f t="shared" ref="B645:B708" ca="1" si="297">B644+pas</f>
        <v>34.711400000000602</v>
      </c>
      <c r="D645" s="306">
        <f t="shared" ref="D645:D708" ca="1" si="298">IF(AND(L644&lt;L_rampe,Poussee&lt;Poids*SIN(M644)),0,(-W644+Poussee)/m*COS(M644)-U644/m*SIN(M644))</f>
        <v>-0.71700123091287271</v>
      </c>
      <c r="E645" s="307">
        <f t="shared" ref="E645:E708" ca="1" si="299">IF(AND(L644&lt;L_rampe,Poussee&lt;Poids*SIN(M644)),0,(-W644+Poussee)/m*SIN(M644)+U644/m*COS(M644)-Poids/m)</f>
        <v>-2.0965434145748389</v>
      </c>
      <c r="F645" s="304">
        <f t="shared" ref="F645:F708" ca="1" si="300">SQRT(acc_x^2+acc_z^2)</f>
        <v>2.2157583474575246</v>
      </c>
      <c r="G645" s="306">
        <f t="shared" ref="G645:G708" ca="1" si="301">G644+acc_x*pas</f>
        <v>11.296172650711844</v>
      </c>
      <c r="H645" s="307">
        <f t="shared" ref="H645:H708" ca="1" si="302">H644+acc_z*pas</f>
        <v>-121.52453433030233</v>
      </c>
      <c r="I645" s="304">
        <f t="shared" ref="I645:I708" ca="1" si="303">SQRT(vit_x^2+vit_z^2)</f>
        <v>122.04841646146632</v>
      </c>
      <c r="J645" s="306">
        <f t="shared" ref="J645:J708" ca="1" si="304">J644+0.5*(vit_x+G644)*pas*(K644&gt;=0)</f>
        <v>786.02923903053897</v>
      </c>
      <c r="K645" s="307">
        <f t="shared" ref="K645:K708" ca="1" si="305">K644+0.5*(vit_z+H644)*pas</f>
        <v>-9.7694241772225237</v>
      </c>
      <c r="L645" s="304">
        <f t="shared" ca="1" si="290"/>
        <v>786.08994794468833</v>
      </c>
      <c r="M645" s="306">
        <f t="shared" ref="M645:M708" ca="1" si="306">IF(AND(L644&gt;L_rampe,G645&gt;0),ATAN2(G645,H645),$M$4)</f>
        <v>-1.4781088230088058</v>
      </c>
      <c r="N645" s="304">
        <f t="shared" ref="N645:N708" ca="1" si="307">DEGREES(Beta)</f>
        <v>-84.689397219454165</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7.4799999999999969</v>
      </c>
      <c r="T645" s="304">
        <f t="shared" ca="1" si="291"/>
        <v>73.37879999999997</v>
      </c>
      <c r="U645" s="311">
        <f t="shared" ca="1" si="292"/>
        <v>0</v>
      </c>
      <c r="V645" s="306">
        <f t="shared" ca="1" si="293"/>
        <v>1.2261973393274985</v>
      </c>
      <c r="W645" s="304">
        <f t="shared" ca="1" si="294"/>
        <v>57.945647073803244</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2.0211815701946847</v>
      </c>
      <c r="AH645" s="304">
        <f t="shared" ref="AH645:AH708" ca="1" si="318">IF(AND(L644&lt;L_rampe,Poussee&lt;Poids*SIN(M644)), g*SIN(M644), (-W644+Poussee)/m)</f>
        <v>-7.7467091890924475</v>
      </c>
    </row>
    <row r="646" spans="1:34" x14ac:dyDescent="0.2">
      <c r="A646" s="347">
        <f t="shared" ca="1" si="296"/>
        <v>1E-4</v>
      </c>
      <c r="B646" s="304">
        <f t="shared" ca="1" si="297"/>
        <v>34.711500000000605</v>
      </c>
      <c r="D646" s="306">
        <f t="shared" ca="1" si="298"/>
        <v>-0.71699873863661512</v>
      </c>
      <c r="E646" s="307">
        <f t="shared" ca="1" si="299"/>
        <v>-2.0965079596018832</v>
      </c>
      <c r="F646" s="304">
        <f t="shared" ca="1" si="300"/>
        <v>2.2157239936148518</v>
      </c>
      <c r="G646" s="306">
        <f t="shared" ca="1" si="301"/>
        <v>11.29610095083798</v>
      </c>
      <c r="H646" s="307">
        <f t="shared" ca="1" si="302"/>
        <v>-121.5247439810983</v>
      </c>
      <c r="I646" s="304">
        <f t="shared" ca="1" si="303"/>
        <v>122.04861857621745</v>
      </c>
      <c r="J646" s="306">
        <f t="shared" ca="1" si="304"/>
        <v>786.02923903053897</v>
      </c>
      <c r="K646" s="307">
        <f t="shared" ca="1" si="305"/>
        <v>-9.7815766411380931</v>
      </c>
      <c r="L646" s="304">
        <f t="shared" ca="1" si="290"/>
        <v>786.09009906785798</v>
      </c>
      <c r="M646" s="306">
        <f t="shared" ca="1" si="306"/>
        <v>-1.4781095669443545</v>
      </c>
      <c r="N646" s="304">
        <f t="shared" ca="1" si="307"/>
        <v>-84.689439843821333</v>
      </c>
      <c r="P646" s="310">
        <f t="shared" ca="1" si="308"/>
        <v>23</v>
      </c>
      <c r="Q646" s="304">
        <f t="shared" ca="1" si="309"/>
        <v>0</v>
      </c>
      <c r="R646" s="306">
        <f t="shared" ca="1" si="310"/>
        <v>0</v>
      </c>
      <c r="S646" s="307">
        <f t="shared" ca="1" si="311"/>
        <v>7.4799999999999969</v>
      </c>
      <c r="T646" s="304">
        <f t="shared" ca="1" si="291"/>
        <v>73.37879999999997</v>
      </c>
      <c r="U646" s="311">
        <f t="shared" ca="1" si="292"/>
        <v>0</v>
      </c>
      <c r="V646" s="306">
        <f t="shared" ca="1" si="293"/>
        <v>1.2261988294606518</v>
      </c>
      <c r="W646" s="304">
        <f t="shared" ca="1" si="294"/>
        <v>57.945909410920265</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2.0211471735587132</v>
      </c>
      <c r="AH646" s="304">
        <f t="shared" ca="1" si="318"/>
        <v>-7.746744261203645</v>
      </c>
    </row>
    <row r="647" spans="1:34" x14ac:dyDescent="0.2">
      <c r="A647" s="347">
        <f t="shared" ca="1" si="296"/>
        <v>1E-4</v>
      </c>
      <c r="B647" s="304">
        <f t="shared" ca="1" si="297"/>
        <v>34.711600000000608</v>
      </c>
      <c r="D647" s="306">
        <f t="shared" ca="1" si="298"/>
        <v>-0.71699624633528281</v>
      </c>
      <c r="E647" s="307">
        <f t="shared" ca="1" si="299"/>
        <v>-2.0964725049363215</v>
      </c>
      <c r="F647" s="304">
        <f t="shared" ca="1" si="300"/>
        <v>2.2156896400924162</v>
      </c>
      <c r="G647" s="306">
        <f t="shared" ca="1" si="301"/>
        <v>11.296029251213346</v>
      </c>
      <c r="H647" s="307">
        <f t="shared" ca="1" si="302"/>
        <v>-121.5249536283488</v>
      </c>
      <c r="I647" s="304">
        <f t="shared" ca="1" si="303"/>
        <v>122.04882068752894</v>
      </c>
      <c r="J647" s="306">
        <f t="shared" ca="1" si="304"/>
        <v>786.02923903053897</v>
      </c>
      <c r="K647" s="307">
        <f t="shared" ca="1" si="305"/>
        <v>-9.7937291260185653</v>
      </c>
      <c r="L647" s="304">
        <f t="shared" ca="1" si="290"/>
        <v>786.0902503791292</v>
      </c>
      <c r="M647" s="306">
        <f t="shared" ca="1" si="306"/>
        <v>-1.4781103108727172</v>
      </c>
      <c r="N647" s="304">
        <f t="shared" ca="1" si="307"/>
        <v>-84.68948246777677</v>
      </c>
      <c r="P647" s="310">
        <f t="shared" ca="1" si="308"/>
        <v>23</v>
      </c>
      <c r="Q647" s="304">
        <f t="shared" ca="1" si="309"/>
        <v>0</v>
      </c>
      <c r="R647" s="306">
        <f t="shared" ca="1" si="310"/>
        <v>0</v>
      </c>
      <c r="S647" s="307">
        <f t="shared" ca="1" si="311"/>
        <v>7.4799999999999969</v>
      </c>
      <c r="T647" s="304">
        <f t="shared" ca="1" si="291"/>
        <v>73.37879999999997</v>
      </c>
      <c r="U647" s="311">
        <f t="shared" ca="1" si="292"/>
        <v>0</v>
      </c>
      <c r="V647" s="306">
        <f t="shared" ca="1" si="293"/>
        <v>1.2262003195981876</v>
      </c>
      <c r="W647" s="304">
        <f t="shared" ca="1" si="294"/>
        <v>57.94617174576252</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2.0211127772149187</v>
      </c>
      <c r="AH647" s="304">
        <f t="shared" ca="1" si="318"/>
        <v>-7.7467793330107337</v>
      </c>
    </row>
    <row r="648" spans="1:34" x14ac:dyDescent="0.2">
      <c r="A648" s="347">
        <f t="shared" ca="1" si="296"/>
        <v>1E-4</v>
      </c>
      <c r="B648" s="304">
        <f t="shared" ca="1" si="297"/>
        <v>34.711700000000612</v>
      </c>
      <c r="D648" s="306">
        <f t="shared" ca="1" si="298"/>
        <v>-0.71699375400887855</v>
      </c>
      <c r="E648" s="307">
        <f t="shared" ca="1" si="299"/>
        <v>-2.0964370505781602</v>
      </c>
      <c r="F648" s="304">
        <f t="shared" ca="1" si="300"/>
        <v>2.2156552868902235</v>
      </c>
      <c r="G648" s="306">
        <f t="shared" ca="1" si="301"/>
        <v>11.295957551837946</v>
      </c>
      <c r="H648" s="307">
        <f t="shared" ca="1" si="302"/>
        <v>-121.52516327205386</v>
      </c>
      <c r="I648" s="304">
        <f t="shared" ca="1" si="303"/>
        <v>122.04902279540083</v>
      </c>
      <c r="J648" s="306">
        <f t="shared" ca="1" si="304"/>
        <v>786.02923903053897</v>
      </c>
      <c r="K648" s="307">
        <f t="shared" ca="1" si="305"/>
        <v>-9.8058816318635849</v>
      </c>
      <c r="L648" s="304">
        <f t="shared" ca="1" si="290"/>
        <v>786.09040187850292</v>
      </c>
      <c r="M648" s="306">
        <f t="shared" ca="1" si="306"/>
        <v>-1.4781110547938943</v>
      </c>
      <c r="N648" s="304">
        <f t="shared" ca="1" si="307"/>
        <v>-84.689525091320505</v>
      </c>
      <c r="P648" s="310">
        <f t="shared" ca="1" si="308"/>
        <v>23</v>
      </c>
      <c r="Q648" s="304">
        <f t="shared" ca="1" si="309"/>
        <v>0</v>
      </c>
      <c r="R648" s="306">
        <f t="shared" ca="1" si="310"/>
        <v>0</v>
      </c>
      <c r="S648" s="307">
        <f t="shared" ca="1" si="311"/>
        <v>7.4799999999999969</v>
      </c>
      <c r="T648" s="304">
        <f t="shared" ca="1" si="291"/>
        <v>73.37879999999997</v>
      </c>
      <c r="U648" s="311">
        <f t="shared" ca="1" si="292"/>
        <v>0</v>
      </c>
      <c r="V648" s="306">
        <f t="shared" ca="1" si="293"/>
        <v>1.2262018097401062</v>
      </c>
      <c r="W648" s="304">
        <f t="shared" ca="1" si="294"/>
        <v>57.946434078330043</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2.0210783811633073</v>
      </c>
      <c r="AH648" s="304">
        <f t="shared" ca="1" si="318"/>
        <v>-7.7468144045137093</v>
      </c>
    </row>
    <row r="649" spans="1:34" x14ac:dyDescent="0.2">
      <c r="A649" s="347">
        <f t="shared" ca="1" si="296"/>
        <v>1E-4</v>
      </c>
      <c r="B649" s="304">
        <f t="shared" ca="1" si="297"/>
        <v>34.711800000000615</v>
      </c>
      <c r="D649" s="306">
        <f t="shared" ca="1" si="298"/>
        <v>-0.7169912616574009</v>
      </c>
      <c r="E649" s="307">
        <f t="shared" ca="1" si="299"/>
        <v>-2.0964015965273939</v>
      </c>
      <c r="F649" s="304">
        <f t="shared" ca="1" si="300"/>
        <v>2.2156209340082698</v>
      </c>
      <c r="G649" s="306">
        <f t="shared" ca="1" si="301"/>
        <v>11.29588585271178</v>
      </c>
      <c r="H649" s="307">
        <f t="shared" ca="1" si="302"/>
        <v>-121.52537291221351</v>
      </c>
      <c r="I649" s="304">
        <f t="shared" ca="1" si="303"/>
        <v>122.04922489983315</v>
      </c>
      <c r="J649" s="306">
        <f t="shared" ca="1" si="304"/>
        <v>786.02923903053897</v>
      </c>
      <c r="K649" s="307">
        <f t="shared" ca="1" si="305"/>
        <v>-9.8180341586727984</v>
      </c>
      <c r="L649" s="304">
        <f t="shared" ca="1" si="290"/>
        <v>786.09055356598014</v>
      </c>
      <c r="M649" s="306">
        <f t="shared" ca="1" si="306"/>
        <v>-1.4781117987078856</v>
      </c>
      <c r="N649" s="304">
        <f t="shared" ca="1" si="307"/>
        <v>-84.689567714452537</v>
      </c>
      <c r="P649" s="310">
        <f t="shared" ca="1" si="308"/>
        <v>23</v>
      </c>
      <c r="Q649" s="304">
        <f t="shared" ca="1" si="309"/>
        <v>0</v>
      </c>
      <c r="R649" s="306">
        <f t="shared" ca="1" si="310"/>
        <v>0</v>
      </c>
      <c r="S649" s="307">
        <f t="shared" ca="1" si="311"/>
        <v>7.4799999999999969</v>
      </c>
      <c r="T649" s="304">
        <f t="shared" ca="1" si="291"/>
        <v>73.37879999999997</v>
      </c>
      <c r="U649" s="311">
        <f t="shared" ca="1" si="292"/>
        <v>0</v>
      </c>
      <c r="V649" s="306">
        <f t="shared" ca="1" si="293"/>
        <v>1.2262032998864072</v>
      </c>
      <c r="W649" s="304">
        <f t="shared" ca="1" si="294"/>
        <v>57.946696408622827</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2.0210439854038729</v>
      </c>
      <c r="AH649" s="304">
        <f t="shared" ca="1" si="318"/>
        <v>-7.7468494757125761</v>
      </c>
    </row>
    <row r="650" spans="1:34" x14ac:dyDescent="0.2">
      <c r="A650" s="347">
        <f t="shared" ca="1" si="296"/>
        <v>1E-4</v>
      </c>
      <c r="B650" s="304">
        <f t="shared" ca="1" si="297"/>
        <v>34.711900000000618</v>
      </c>
      <c r="D650" s="306">
        <f t="shared" ca="1" si="298"/>
        <v>-0.71698876928085253</v>
      </c>
      <c r="E650" s="307">
        <f t="shared" ca="1" si="299"/>
        <v>-2.0963661427840234</v>
      </c>
      <c r="F650" s="304">
        <f t="shared" ca="1" si="300"/>
        <v>2.2155865814465558</v>
      </c>
      <c r="G650" s="306">
        <f t="shared" ca="1" si="301"/>
        <v>11.295814153834852</v>
      </c>
      <c r="H650" s="307">
        <f t="shared" ca="1" si="302"/>
        <v>-121.52558254882778</v>
      </c>
      <c r="I650" s="304">
        <f t="shared" ca="1" si="303"/>
        <v>122.0494270008259</v>
      </c>
      <c r="J650" s="306">
        <f t="shared" ca="1" si="304"/>
        <v>786.02923903053897</v>
      </c>
      <c r="K650" s="307">
        <f t="shared" ca="1" si="305"/>
        <v>-9.8301867064458506</v>
      </c>
      <c r="L650" s="304">
        <f t="shared" ca="1" si="290"/>
        <v>786.09070544156145</v>
      </c>
      <c r="M650" s="306">
        <f t="shared" ca="1" si="306"/>
        <v>-1.4781125426146915</v>
      </c>
      <c r="N650" s="304">
        <f t="shared" ca="1" si="307"/>
        <v>-84.689610337172866</v>
      </c>
      <c r="P650" s="310">
        <f t="shared" ca="1" si="308"/>
        <v>23</v>
      </c>
      <c r="Q650" s="304">
        <f t="shared" ca="1" si="309"/>
        <v>0</v>
      </c>
      <c r="R650" s="306">
        <f t="shared" ca="1" si="310"/>
        <v>0</v>
      </c>
      <c r="S650" s="307">
        <f t="shared" ca="1" si="311"/>
        <v>7.4799999999999969</v>
      </c>
      <c r="T650" s="304">
        <f t="shared" ca="1" si="291"/>
        <v>73.37879999999997</v>
      </c>
      <c r="U650" s="311">
        <f t="shared" ca="1" si="292"/>
        <v>0</v>
      </c>
      <c r="V650" s="306">
        <f t="shared" ca="1" si="293"/>
        <v>1.2262047900370903</v>
      </c>
      <c r="W650" s="304">
        <f t="shared" ca="1" si="294"/>
        <v>57.946958736640831</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2.0210095899366198</v>
      </c>
      <c r="AH650" s="304">
        <f t="shared" ca="1" si="318"/>
        <v>-7.7468845466073333</v>
      </c>
    </row>
    <row r="651" spans="1:34" x14ac:dyDescent="0.2">
      <c r="A651" s="347">
        <f t="shared" ca="1" si="296"/>
        <v>1E-4</v>
      </c>
      <c r="B651" s="304">
        <f t="shared" ca="1" si="297"/>
        <v>34.712000000000621</v>
      </c>
      <c r="D651" s="306">
        <f t="shared" ca="1" si="298"/>
        <v>-0.71698627687923144</v>
      </c>
      <c r="E651" s="307">
        <f t="shared" ca="1" si="299"/>
        <v>-2.0963306893480533</v>
      </c>
      <c r="F651" s="304">
        <f t="shared" ca="1" si="300"/>
        <v>2.2155522292050862</v>
      </c>
      <c r="G651" s="306">
        <f t="shared" ca="1" si="301"/>
        <v>11.295742455207165</v>
      </c>
      <c r="H651" s="307">
        <f t="shared" ca="1" si="302"/>
        <v>-121.52579218189672</v>
      </c>
      <c r="I651" s="304">
        <f t="shared" ca="1" si="303"/>
        <v>122.04962909837916</v>
      </c>
      <c r="J651" s="306">
        <f t="shared" ca="1" si="304"/>
        <v>786.02923903053897</v>
      </c>
      <c r="K651" s="307">
        <f t="shared" ca="1" si="305"/>
        <v>-9.8423392751823862</v>
      </c>
      <c r="L651" s="304">
        <f t="shared" ca="1" si="290"/>
        <v>786.09085750524798</v>
      </c>
      <c r="M651" s="306">
        <f t="shared" ca="1" si="306"/>
        <v>-1.4781132865143118</v>
      </c>
      <c r="N651" s="304">
        <f t="shared" ca="1" si="307"/>
        <v>-84.689652959481492</v>
      </c>
      <c r="P651" s="310">
        <f t="shared" ca="1" si="308"/>
        <v>23</v>
      </c>
      <c r="Q651" s="304">
        <f t="shared" ca="1" si="309"/>
        <v>0</v>
      </c>
      <c r="R651" s="306">
        <f t="shared" ca="1" si="310"/>
        <v>0</v>
      </c>
      <c r="S651" s="307">
        <f t="shared" ca="1" si="311"/>
        <v>7.4799999999999969</v>
      </c>
      <c r="T651" s="304">
        <f t="shared" ca="1" si="291"/>
        <v>73.37879999999997</v>
      </c>
      <c r="U651" s="311">
        <f t="shared" ca="1" si="292"/>
        <v>0</v>
      </c>
      <c r="V651" s="306">
        <f t="shared" ca="1" si="293"/>
        <v>1.2262062801921556</v>
      </c>
      <c r="W651" s="304">
        <f t="shared" ca="1" si="294"/>
        <v>57.947221062384116</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2.0209751947615535</v>
      </c>
      <c r="AH651" s="304">
        <f t="shared" ca="1" si="318"/>
        <v>-7.7469196171979755</v>
      </c>
    </row>
    <row r="652" spans="1:34" x14ac:dyDescent="0.2">
      <c r="A652" s="347">
        <f t="shared" ca="1" si="296"/>
        <v>1E-4</v>
      </c>
      <c r="B652" s="304">
        <f t="shared" ca="1" si="297"/>
        <v>34.712100000000625</v>
      </c>
      <c r="D652" s="306">
        <f t="shared" ca="1" si="298"/>
        <v>-0.71698378445254107</v>
      </c>
      <c r="E652" s="307">
        <f t="shared" ca="1" si="299"/>
        <v>-2.0962952362194773</v>
      </c>
      <c r="F652" s="304">
        <f t="shared" ca="1" si="300"/>
        <v>2.215517877283856</v>
      </c>
      <c r="G652" s="306">
        <f t="shared" ca="1" si="301"/>
        <v>11.29567075682872</v>
      </c>
      <c r="H652" s="307">
        <f t="shared" ca="1" si="302"/>
        <v>-121.52600181142034</v>
      </c>
      <c r="I652" s="304">
        <f t="shared" ca="1" si="303"/>
        <v>122.04983119249292</v>
      </c>
      <c r="J652" s="306">
        <f t="shared" ca="1" si="304"/>
        <v>786.02923903053897</v>
      </c>
      <c r="K652" s="307">
        <f t="shared" ca="1" si="305"/>
        <v>-9.8544918648820516</v>
      </c>
      <c r="L652" s="304">
        <f t="shared" ca="1" si="290"/>
        <v>786.0910097570403</v>
      </c>
      <c r="M652" s="306">
        <f t="shared" ca="1" si="306"/>
        <v>-1.4781140304067468</v>
      </c>
      <c r="N652" s="304">
        <f t="shared" ca="1" si="307"/>
        <v>-84.68969558137843</v>
      </c>
      <c r="P652" s="310">
        <f t="shared" ca="1" si="308"/>
        <v>23</v>
      </c>
      <c r="Q652" s="304">
        <f t="shared" ca="1" si="309"/>
        <v>0</v>
      </c>
      <c r="R652" s="306">
        <f t="shared" ca="1" si="310"/>
        <v>0</v>
      </c>
      <c r="S652" s="307">
        <f t="shared" ca="1" si="311"/>
        <v>7.4799999999999969</v>
      </c>
      <c r="T652" s="304">
        <f t="shared" ca="1" si="291"/>
        <v>73.37879999999997</v>
      </c>
      <c r="U652" s="311">
        <f t="shared" ca="1" si="292"/>
        <v>0</v>
      </c>
      <c r="V652" s="306">
        <f t="shared" ca="1" si="293"/>
        <v>1.2262077703516032</v>
      </c>
      <c r="W652" s="304">
        <f t="shared" ca="1" si="294"/>
        <v>57.947483385852635</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2.0209407998786624</v>
      </c>
      <c r="AH652" s="304">
        <f t="shared" ca="1" si="318"/>
        <v>-7.7469546874845108</v>
      </c>
    </row>
    <row r="653" spans="1:34" x14ac:dyDescent="0.2">
      <c r="A653" s="347">
        <f t="shared" ca="1" si="296"/>
        <v>1E-4</v>
      </c>
      <c r="B653" s="304">
        <f t="shared" ca="1" si="297"/>
        <v>34.712200000000628</v>
      </c>
      <c r="D653" s="306">
        <f t="shared" ca="1" si="298"/>
        <v>-0.71698129200078087</v>
      </c>
      <c r="E653" s="307">
        <f t="shared" ca="1" si="299"/>
        <v>-2.0962597833982999</v>
      </c>
      <c r="F653" s="304">
        <f t="shared" ca="1" si="300"/>
        <v>2.2154835256828691</v>
      </c>
      <c r="G653" s="306">
        <f t="shared" ca="1" si="301"/>
        <v>11.295599058699519</v>
      </c>
      <c r="H653" s="307">
        <f t="shared" ca="1" si="302"/>
        <v>-121.52621143739869</v>
      </c>
      <c r="I653" s="304">
        <f t="shared" ca="1" si="303"/>
        <v>122.05003328316721</v>
      </c>
      <c r="J653" s="306">
        <f t="shared" ca="1" si="304"/>
        <v>786.02923903053897</v>
      </c>
      <c r="K653" s="307">
        <f t="shared" ca="1" si="305"/>
        <v>-9.8666444755444918</v>
      </c>
      <c r="L653" s="304">
        <f t="shared" ca="1" si="290"/>
        <v>786.09116219693954</v>
      </c>
      <c r="M653" s="306">
        <f t="shared" ca="1" si="306"/>
        <v>-1.4781147742919964</v>
      </c>
      <c r="N653" s="304">
        <f t="shared" ca="1" si="307"/>
        <v>-84.689738202863666</v>
      </c>
      <c r="P653" s="310">
        <f t="shared" ca="1" si="308"/>
        <v>23</v>
      </c>
      <c r="Q653" s="304">
        <f t="shared" ca="1" si="309"/>
        <v>0</v>
      </c>
      <c r="R653" s="306">
        <f t="shared" ca="1" si="310"/>
        <v>0</v>
      </c>
      <c r="S653" s="307">
        <f t="shared" ca="1" si="311"/>
        <v>7.4799999999999969</v>
      </c>
      <c r="T653" s="304">
        <f t="shared" ca="1" si="291"/>
        <v>73.37879999999997</v>
      </c>
      <c r="U653" s="311">
        <f t="shared" ca="1" si="292"/>
        <v>0</v>
      </c>
      <c r="V653" s="306">
        <f t="shared" ca="1" si="293"/>
        <v>1.2262092605154333</v>
      </c>
      <c r="W653" s="304">
        <f t="shared" ca="1" si="294"/>
        <v>57.947745707046423</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2.0209064052879562</v>
      </c>
      <c r="AH653" s="304">
        <f t="shared" ca="1" si="318"/>
        <v>-7.7469897574669329</v>
      </c>
    </row>
    <row r="654" spans="1:34" x14ac:dyDescent="0.2">
      <c r="A654" s="347">
        <f t="shared" ca="1" si="296"/>
        <v>1E-4</v>
      </c>
      <c r="B654" s="304">
        <f t="shared" ca="1" si="297"/>
        <v>34.712300000000631</v>
      </c>
      <c r="D654" s="306">
        <f t="shared" ca="1" si="298"/>
        <v>-0.71697879952395271</v>
      </c>
      <c r="E654" s="307">
        <f t="shared" ca="1" si="299"/>
        <v>-2.0962243308845165</v>
      </c>
      <c r="F654" s="304">
        <f t="shared" ca="1" si="300"/>
        <v>2.215449174402123</v>
      </c>
      <c r="G654" s="306">
        <f t="shared" ca="1" si="301"/>
        <v>11.295527360819566</v>
      </c>
      <c r="H654" s="307">
        <f t="shared" ca="1" si="302"/>
        <v>-121.52642105983178</v>
      </c>
      <c r="I654" s="304">
        <f t="shared" ca="1" si="303"/>
        <v>122.05023537040208</v>
      </c>
      <c r="J654" s="306">
        <f t="shared" ca="1" si="304"/>
        <v>786.02923903053897</v>
      </c>
      <c r="K654" s="307">
        <f t="shared" ca="1" si="305"/>
        <v>-9.878797107169353</v>
      </c>
      <c r="L654" s="304">
        <f t="shared" ca="1" si="290"/>
        <v>786.09131482494627</v>
      </c>
      <c r="M654" s="306">
        <f t="shared" ca="1" si="306"/>
        <v>-1.4781155181700611</v>
      </c>
      <c r="N654" s="304">
        <f t="shared" ca="1" si="307"/>
        <v>-84.689780823937255</v>
      </c>
      <c r="P654" s="310">
        <f t="shared" ca="1" si="308"/>
        <v>23</v>
      </c>
      <c r="Q654" s="304">
        <f t="shared" ca="1" si="309"/>
        <v>0</v>
      </c>
      <c r="R654" s="306">
        <f t="shared" ca="1" si="310"/>
        <v>0</v>
      </c>
      <c r="S654" s="307">
        <f t="shared" ca="1" si="311"/>
        <v>7.4799999999999969</v>
      </c>
      <c r="T654" s="304">
        <f t="shared" ca="1" si="291"/>
        <v>73.37879999999997</v>
      </c>
      <c r="U654" s="311">
        <f t="shared" ca="1" si="292"/>
        <v>0</v>
      </c>
      <c r="V654" s="306">
        <f t="shared" ca="1" si="293"/>
        <v>1.2262107506836459</v>
      </c>
      <c r="W654" s="304">
        <f t="shared" ca="1" si="294"/>
        <v>57.948008025965486</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2.0208720109894296</v>
      </c>
      <c r="AH654" s="304">
        <f t="shared" ca="1" si="318"/>
        <v>-7.7470248271452471</v>
      </c>
    </row>
    <row r="655" spans="1:34" x14ac:dyDescent="0.2">
      <c r="A655" s="347">
        <f t="shared" ca="1" si="296"/>
        <v>1E-4</v>
      </c>
      <c r="B655" s="304">
        <f t="shared" ca="1" si="297"/>
        <v>34.712400000000635</v>
      </c>
      <c r="D655" s="306">
        <f t="shared" ca="1" si="298"/>
        <v>-0.7169763070220545</v>
      </c>
      <c r="E655" s="307">
        <f t="shared" ca="1" si="299"/>
        <v>-2.0961888786781264</v>
      </c>
      <c r="F655" s="304">
        <f t="shared" ca="1" si="300"/>
        <v>2.2154148234416153</v>
      </c>
      <c r="G655" s="306">
        <f t="shared" ca="1" si="301"/>
        <v>11.295455663188864</v>
      </c>
      <c r="H655" s="307">
        <f t="shared" ca="1" si="302"/>
        <v>-121.52663067871964</v>
      </c>
      <c r="I655" s="304">
        <f t="shared" ca="1" si="303"/>
        <v>122.05043745419755</v>
      </c>
      <c r="J655" s="306">
        <f t="shared" ca="1" si="304"/>
        <v>786.02923903053897</v>
      </c>
      <c r="K655" s="307">
        <f t="shared" ca="1" si="305"/>
        <v>-9.8909497597562801</v>
      </c>
      <c r="L655" s="304">
        <f t="shared" ca="1" si="290"/>
        <v>786.09146764106163</v>
      </c>
      <c r="M655" s="306">
        <f t="shared" ca="1" si="306"/>
        <v>-1.4781162620409407</v>
      </c>
      <c r="N655" s="304">
        <f t="shared" ca="1" si="307"/>
        <v>-84.689823444599156</v>
      </c>
      <c r="P655" s="310">
        <f t="shared" ca="1" si="308"/>
        <v>23</v>
      </c>
      <c r="Q655" s="304">
        <f t="shared" ca="1" si="309"/>
        <v>0</v>
      </c>
      <c r="R655" s="306">
        <f t="shared" ca="1" si="310"/>
        <v>0</v>
      </c>
      <c r="S655" s="307">
        <f t="shared" ca="1" si="311"/>
        <v>7.4799999999999969</v>
      </c>
      <c r="T655" s="304">
        <f t="shared" ca="1" si="291"/>
        <v>73.37879999999997</v>
      </c>
      <c r="U655" s="311">
        <f t="shared" ca="1" si="292"/>
        <v>0</v>
      </c>
      <c r="V655" s="306">
        <f t="shared" ca="1" si="293"/>
        <v>1.2262122408562406</v>
      </c>
      <c r="W655" s="304">
        <f t="shared" ca="1" si="294"/>
        <v>57.94827034260981</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2.0208376169830826</v>
      </c>
      <c r="AH655" s="304">
        <f t="shared" ca="1" si="318"/>
        <v>-7.7470598965194535</v>
      </c>
    </row>
    <row r="656" spans="1:34" x14ac:dyDescent="0.2">
      <c r="A656" s="347">
        <f t="shared" ca="1" si="296"/>
        <v>1E-4</v>
      </c>
      <c r="B656" s="304">
        <f t="shared" ca="1" si="297"/>
        <v>34.712500000000638</v>
      </c>
      <c r="D656" s="306">
        <f t="shared" ca="1" si="298"/>
        <v>-0.71697381449508946</v>
      </c>
      <c r="E656" s="307">
        <f t="shared" ca="1" si="299"/>
        <v>-2.0961534267791331</v>
      </c>
      <c r="F656" s="304">
        <f t="shared" ca="1" si="300"/>
        <v>2.215380472801352</v>
      </c>
      <c r="G656" s="306">
        <f t="shared" ca="1" si="301"/>
        <v>11.295383965807416</v>
      </c>
      <c r="H656" s="307">
        <f t="shared" ca="1" si="302"/>
        <v>-121.52684029406232</v>
      </c>
      <c r="I656" s="304">
        <f t="shared" ca="1" si="303"/>
        <v>122.05063953455365</v>
      </c>
      <c r="J656" s="306">
        <f t="shared" ca="1" si="304"/>
        <v>786.02923903053897</v>
      </c>
      <c r="K656" s="307">
        <f t="shared" ca="1" si="305"/>
        <v>-9.9031024333049196</v>
      </c>
      <c r="L656" s="304">
        <f t="shared" ca="1" si="290"/>
        <v>786.0916206452863</v>
      </c>
      <c r="M656" s="306">
        <f t="shared" ca="1" si="306"/>
        <v>-1.4781170059046351</v>
      </c>
      <c r="N656" s="304">
        <f t="shared" ca="1" si="307"/>
        <v>-84.689866064849383</v>
      </c>
      <c r="P656" s="310">
        <f t="shared" ca="1" si="308"/>
        <v>23</v>
      </c>
      <c r="Q656" s="304">
        <f t="shared" ca="1" si="309"/>
        <v>0</v>
      </c>
      <c r="R656" s="306">
        <f t="shared" ca="1" si="310"/>
        <v>0</v>
      </c>
      <c r="S656" s="307">
        <f t="shared" ca="1" si="311"/>
        <v>7.4799999999999969</v>
      </c>
      <c r="T656" s="304">
        <f t="shared" ca="1" si="291"/>
        <v>73.37879999999997</v>
      </c>
      <c r="U656" s="311">
        <f t="shared" ca="1" si="292"/>
        <v>0</v>
      </c>
      <c r="V656" s="306">
        <f t="shared" ca="1" si="293"/>
        <v>1.2262137310332173</v>
      </c>
      <c r="W656" s="304">
        <f t="shared" ca="1" si="294"/>
        <v>57.948532656979388</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2.020803223268917</v>
      </c>
      <c r="AH656" s="304">
        <f t="shared" ca="1" si="318"/>
        <v>-7.7470949655895502</v>
      </c>
    </row>
    <row r="657" spans="1:34" x14ac:dyDescent="0.2">
      <c r="A657" s="347">
        <f t="shared" ca="1" si="296"/>
        <v>1E-4</v>
      </c>
      <c r="B657" s="304">
        <f t="shared" ca="1" si="297"/>
        <v>34.712600000000641</v>
      </c>
      <c r="D657" s="306">
        <f t="shared" ca="1" si="298"/>
        <v>-0.71697132194305868</v>
      </c>
      <c r="E657" s="307">
        <f t="shared" ca="1" si="299"/>
        <v>-2.0961179751875365</v>
      </c>
      <c r="F657" s="304">
        <f t="shared" ca="1" si="300"/>
        <v>2.2153461224813324</v>
      </c>
      <c r="G657" s="306">
        <f t="shared" ca="1" si="301"/>
        <v>11.295312268675222</v>
      </c>
      <c r="H657" s="307">
        <f t="shared" ca="1" si="302"/>
        <v>-121.52704990585984</v>
      </c>
      <c r="I657" s="304">
        <f t="shared" ca="1" si="303"/>
        <v>122.05084161147039</v>
      </c>
      <c r="J657" s="306">
        <f t="shared" ca="1" si="304"/>
        <v>786.02923903053897</v>
      </c>
      <c r="K657" s="307">
        <f t="shared" ca="1" si="305"/>
        <v>-9.9152551278149161</v>
      </c>
      <c r="L657" s="304">
        <f t="shared" ca="1" si="290"/>
        <v>786.0917738376213</v>
      </c>
      <c r="M657" s="306">
        <f t="shared" ca="1" si="306"/>
        <v>-1.4781177497611451</v>
      </c>
      <c r="N657" s="304">
        <f t="shared" ca="1" si="307"/>
        <v>-84.689908684687964</v>
      </c>
      <c r="P657" s="310">
        <f t="shared" ca="1" si="308"/>
        <v>23</v>
      </c>
      <c r="Q657" s="304">
        <f t="shared" ca="1" si="309"/>
        <v>0</v>
      </c>
      <c r="R657" s="306">
        <f t="shared" ca="1" si="310"/>
        <v>0</v>
      </c>
      <c r="S657" s="307">
        <f t="shared" ca="1" si="311"/>
        <v>7.4799999999999969</v>
      </c>
      <c r="T657" s="304">
        <f t="shared" ca="1" si="291"/>
        <v>73.37879999999997</v>
      </c>
      <c r="U657" s="311">
        <f t="shared" ca="1" si="292"/>
        <v>0</v>
      </c>
      <c r="V657" s="306">
        <f t="shared" ca="1" si="293"/>
        <v>1.2262152212145765</v>
      </c>
      <c r="W657" s="304">
        <f t="shared" ca="1" si="294"/>
        <v>57.948794969074228</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2.0207688298469302</v>
      </c>
      <c r="AH657" s="304">
        <f t="shared" ca="1" si="318"/>
        <v>-7.7471300343555365</v>
      </c>
    </row>
    <row r="658" spans="1:34" x14ac:dyDescent="0.2">
      <c r="A658" s="347">
        <f t="shared" ca="1" si="296"/>
        <v>1E-4</v>
      </c>
      <c r="B658" s="304">
        <f t="shared" ca="1" si="297"/>
        <v>34.712700000000645</v>
      </c>
      <c r="D658" s="306">
        <f t="shared" ca="1" si="298"/>
        <v>-0.71696882936595874</v>
      </c>
      <c r="E658" s="307">
        <f t="shared" ca="1" si="299"/>
        <v>-2.0960825239033349</v>
      </c>
      <c r="F658" s="304">
        <f t="shared" ca="1" si="300"/>
        <v>2.215311772481555</v>
      </c>
      <c r="G658" s="306">
        <f t="shared" ca="1" si="301"/>
        <v>11.295240571792284</v>
      </c>
      <c r="H658" s="307">
        <f t="shared" ca="1" si="302"/>
        <v>-121.52725951411223</v>
      </c>
      <c r="I658" s="304">
        <f t="shared" ca="1" si="303"/>
        <v>122.05104368494783</v>
      </c>
      <c r="J658" s="306">
        <f t="shared" ca="1" si="304"/>
        <v>786.02923903053897</v>
      </c>
      <c r="K658" s="307">
        <f t="shared" ca="1" si="305"/>
        <v>-9.9274078432859145</v>
      </c>
      <c r="L658" s="304">
        <f t="shared" ca="1" si="290"/>
        <v>786.09192721806721</v>
      </c>
      <c r="M658" s="306">
        <f t="shared" ca="1" si="306"/>
        <v>-1.4781184936104701</v>
      </c>
      <c r="N658" s="304">
        <f t="shared" ca="1" si="307"/>
        <v>-84.689951304114871</v>
      </c>
      <c r="P658" s="310">
        <f t="shared" ca="1" si="308"/>
        <v>23</v>
      </c>
      <c r="Q658" s="304">
        <f t="shared" ca="1" si="309"/>
        <v>0</v>
      </c>
      <c r="R658" s="306">
        <f t="shared" ca="1" si="310"/>
        <v>0</v>
      </c>
      <c r="S658" s="307">
        <f t="shared" ca="1" si="311"/>
        <v>7.4799999999999969</v>
      </c>
      <c r="T658" s="304">
        <f t="shared" ca="1" si="291"/>
        <v>73.37879999999997</v>
      </c>
      <c r="U658" s="311">
        <f t="shared" ca="1" si="292"/>
        <v>0</v>
      </c>
      <c r="V658" s="306">
        <f t="shared" ca="1" si="293"/>
        <v>1.2262167114003175</v>
      </c>
      <c r="W658" s="304">
        <f t="shared" ca="1" si="294"/>
        <v>57.94905727889433</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2.02073443671713</v>
      </c>
      <c r="AH658" s="304">
        <f t="shared" ca="1" si="318"/>
        <v>-7.7471651028174131</v>
      </c>
    </row>
    <row r="659" spans="1:34" x14ac:dyDescent="0.2">
      <c r="A659" s="347">
        <f t="shared" ca="1" si="296"/>
        <v>1E-4</v>
      </c>
      <c r="B659" s="304">
        <f t="shared" ca="1" si="297"/>
        <v>34.712800000000648</v>
      </c>
      <c r="D659" s="306">
        <f t="shared" ca="1" si="298"/>
        <v>-0.7169663367637944</v>
      </c>
      <c r="E659" s="307">
        <f t="shared" ca="1" si="299"/>
        <v>-2.0960470729265293</v>
      </c>
      <c r="F659" s="304">
        <f t="shared" ca="1" si="300"/>
        <v>2.2152774228020213</v>
      </c>
      <c r="G659" s="306">
        <f t="shared" ca="1" si="301"/>
        <v>11.295168875158607</v>
      </c>
      <c r="H659" s="307">
        <f t="shared" ca="1" si="302"/>
        <v>-121.52746911881952</v>
      </c>
      <c r="I659" s="304">
        <f t="shared" ca="1" si="303"/>
        <v>122.05124575498598</v>
      </c>
      <c r="J659" s="306">
        <f t="shared" ca="1" si="304"/>
        <v>786.02923903053897</v>
      </c>
      <c r="K659" s="307">
        <f t="shared" ca="1" si="305"/>
        <v>-9.9395605797175612</v>
      </c>
      <c r="L659" s="304">
        <f t="shared" ca="1" si="290"/>
        <v>786.09208078662516</v>
      </c>
      <c r="M659" s="306">
        <f t="shared" ca="1" si="306"/>
        <v>-1.4781192374526104</v>
      </c>
      <c r="N659" s="304">
        <f t="shared" ca="1" si="307"/>
        <v>-84.689993923130146</v>
      </c>
      <c r="P659" s="310">
        <f t="shared" ca="1" si="308"/>
        <v>23</v>
      </c>
      <c r="Q659" s="304">
        <f t="shared" ca="1" si="309"/>
        <v>0</v>
      </c>
      <c r="R659" s="306">
        <f t="shared" ca="1" si="310"/>
        <v>0</v>
      </c>
      <c r="S659" s="307">
        <f t="shared" ca="1" si="311"/>
        <v>7.4799999999999969</v>
      </c>
      <c r="T659" s="304">
        <f t="shared" ca="1" si="291"/>
        <v>73.37879999999997</v>
      </c>
      <c r="U659" s="311">
        <f t="shared" ca="1" si="292"/>
        <v>0</v>
      </c>
      <c r="V659" s="306">
        <f t="shared" ca="1" si="293"/>
        <v>1.2262182015904408</v>
      </c>
      <c r="W659" s="304">
        <f t="shared" ca="1" si="294"/>
        <v>57.949319586439707</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2.0207000438795086</v>
      </c>
      <c r="AH659" s="304">
        <f t="shared" ca="1" si="318"/>
        <v>-7.747200170975181</v>
      </c>
    </row>
    <row r="660" spans="1:34" x14ac:dyDescent="0.2">
      <c r="A660" s="347">
        <f t="shared" ca="1" si="296"/>
        <v>1E-4</v>
      </c>
      <c r="B660" s="304">
        <f t="shared" ca="1" si="297"/>
        <v>34.712900000000651</v>
      </c>
      <c r="D660" s="306">
        <f t="shared" ca="1" si="298"/>
        <v>-0.71696384413656555</v>
      </c>
      <c r="E660" s="307">
        <f t="shared" ca="1" si="299"/>
        <v>-2.0960116222571168</v>
      </c>
      <c r="F660" s="304">
        <f t="shared" ca="1" si="300"/>
        <v>2.2152430734427297</v>
      </c>
      <c r="G660" s="306">
        <f t="shared" ca="1" si="301"/>
        <v>11.295097178774194</v>
      </c>
      <c r="H660" s="307">
        <f t="shared" ca="1" si="302"/>
        <v>-121.52767871998175</v>
      </c>
      <c r="I660" s="304">
        <f t="shared" ca="1" si="303"/>
        <v>122.05144782158489</v>
      </c>
      <c r="J660" s="306">
        <f t="shared" ca="1" si="304"/>
        <v>786.02923903053897</v>
      </c>
      <c r="K660" s="307">
        <f t="shared" ca="1" si="305"/>
        <v>-9.951713337109501</v>
      </c>
      <c r="L660" s="304">
        <f t="shared" ca="1" si="290"/>
        <v>786.09223454329594</v>
      </c>
      <c r="M660" s="306">
        <f t="shared" ca="1" si="306"/>
        <v>-1.4781199812875663</v>
      </c>
      <c r="N660" s="304">
        <f t="shared" ca="1" si="307"/>
        <v>-84.690036541733761</v>
      </c>
      <c r="P660" s="310">
        <f t="shared" ca="1" si="308"/>
        <v>23</v>
      </c>
      <c r="Q660" s="304">
        <f t="shared" ca="1" si="309"/>
        <v>0</v>
      </c>
      <c r="R660" s="306">
        <f t="shared" ca="1" si="310"/>
        <v>0</v>
      </c>
      <c r="S660" s="307">
        <f t="shared" ca="1" si="311"/>
        <v>7.4799999999999969</v>
      </c>
      <c r="T660" s="304">
        <f t="shared" ca="1" si="291"/>
        <v>73.37879999999997</v>
      </c>
      <c r="U660" s="311">
        <f t="shared" ca="1" si="292"/>
        <v>0</v>
      </c>
      <c r="V660" s="306">
        <f t="shared" ca="1" si="293"/>
        <v>1.2262196917849459</v>
      </c>
      <c r="W660" s="304">
        <f t="shared" ca="1" si="294"/>
        <v>57.949581891710338</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2.0206656513340668</v>
      </c>
      <c r="AH660" s="304">
        <f t="shared" ca="1" si="318"/>
        <v>-7.747235238828841</v>
      </c>
    </row>
    <row r="661" spans="1:34" x14ac:dyDescent="0.2">
      <c r="A661" s="347">
        <f t="shared" ca="1" si="296"/>
        <v>1E-4</v>
      </c>
      <c r="B661" s="304">
        <f t="shared" ca="1" si="297"/>
        <v>34.713000000000655</v>
      </c>
      <c r="D661" s="306">
        <f t="shared" ca="1" si="298"/>
        <v>-0.71696135148427176</v>
      </c>
      <c r="E661" s="307">
        <f t="shared" ca="1" si="299"/>
        <v>-2.0959761718951011</v>
      </c>
      <c r="F661" s="304">
        <f t="shared" ca="1" si="300"/>
        <v>2.2152087244036838</v>
      </c>
      <c r="G661" s="306">
        <f t="shared" ca="1" si="301"/>
        <v>11.295025482639046</v>
      </c>
      <c r="H661" s="307">
        <f t="shared" ca="1" si="302"/>
        <v>-121.52788831759894</v>
      </c>
      <c r="I661" s="304">
        <f t="shared" ca="1" si="303"/>
        <v>122.05164988474455</v>
      </c>
      <c r="J661" s="306">
        <f t="shared" ca="1" si="304"/>
        <v>786.02923903053897</v>
      </c>
      <c r="K661" s="307">
        <f t="shared" ca="1" si="305"/>
        <v>-9.9638661154613803</v>
      </c>
      <c r="L661" s="304">
        <f t="shared" ca="1" si="290"/>
        <v>786.09238848808036</v>
      </c>
      <c r="M661" s="306">
        <f t="shared" ca="1" si="306"/>
        <v>-1.4781207251153377</v>
      </c>
      <c r="N661" s="304">
        <f t="shared" ca="1" si="307"/>
        <v>-84.690079159925745</v>
      </c>
      <c r="P661" s="310">
        <f t="shared" ca="1" si="308"/>
        <v>23</v>
      </c>
      <c r="Q661" s="304">
        <f t="shared" ca="1" si="309"/>
        <v>0</v>
      </c>
      <c r="R661" s="306">
        <f t="shared" ca="1" si="310"/>
        <v>0</v>
      </c>
      <c r="S661" s="307">
        <f t="shared" ca="1" si="311"/>
        <v>7.4799999999999969</v>
      </c>
      <c r="T661" s="304">
        <f t="shared" ca="1" si="291"/>
        <v>73.37879999999997</v>
      </c>
      <c r="U661" s="311">
        <f t="shared" ca="1" si="292"/>
        <v>0</v>
      </c>
      <c r="V661" s="306">
        <f t="shared" ca="1" si="293"/>
        <v>1.2262211819838333</v>
      </c>
      <c r="W661" s="304">
        <f t="shared" ca="1" si="294"/>
        <v>57.949844194706237</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2.0206312590808091</v>
      </c>
      <c r="AH661" s="304">
        <f t="shared" ca="1" si="318"/>
        <v>-7.7472703063783905</v>
      </c>
    </row>
    <row r="662" spans="1:34" x14ac:dyDescent="0.2">
      <c r="A662" s="347">
        <f t="shared" ca="1" si="296"/>
        <v>1E-4</v>
      </c>
      <c r="B662" s="304">
        <f t="shared" ca="1" si="297"/>
        <v>34.713100000000658</v>
      </c>
      <c r="D662" s="306">
        <f t="shared" ca="1" si="298"/>
        <v>-0.71695885880691457</v>
      </c>
      <c r="E662" s="307">
        <f t="shared" ca="1" si="299"/>
        <v>-2.0959407218404795</v>
      </c>
      <c r="F662" s="304">
        <f t="shared" ca="1" si="300"/>
        <v>2.2151743756848812</v>
      </c>
      <c r="G662" s="306">
        <f t="shared" ca="1" si="301"/>
        <v>11.294953786753165</v>
      </c>
      <c r="H662" s="307">
        <f t="shared" ca="1" si="302"/>
        <v>-121.52809791167113</v>
      </c>
      <c r="I662" s="304">
        <f t="shared" ca="1" si="303"/>
        <v>122.05185194446503</v>
      </c>
      <c r="J662" s="306">
        <f t="shared" ca="1" si="304"/>
        <v>786.02923903053897</v>
      </c>
      <c r="K662" s="307">
        <f t="shared" ca="1" si="305"/>
        <v>-9.976018914772844</v>
      </c>
      <c r="L662" s="304">
        <f t="shared" ca="1" si="290"/>
        <v>786.09254262097932</v>
      </c>
      <c r="M662" s="306">
        <f t="shared" ca="1" si="306"/>
        <v>-1.4781214689359246</v>
      </c>
      <c r="N662" s="304">
        <f t="shared" ca="1" si="307"/>
        <v>-84.690121777706096</v>
      </c>
      <c r="P662" s="310">
        <f t="shared" ca="1" si="308"/>
        <v>23</v>
      </c>
      <c r="Q662" s="304">
        <f t="shared" ca="1" si="309"/>
        <v>0</v>
      </c>
      <c r="R662" s="306">
        <f t="shared" ca="1" si="310"/>
        <v>0</v>
      </c>
      <c r="S662" s="307">
        <f t="shared" ca="1" si="311"/>
        <v>7.4799999999999969</v>
      </c>
      <c r="T662" s="304">
        <f t="shared" ca="1" si="291"/>
        <v>73.37879999999997</v>
      </c>
      <c r="U662" s="311">
        <f t="shared" ca="1" si="292"/>
        <v>0</v>
      </c>
      <c r="V662" s="306">
        <f t="shared" ca="1" si="293"/>
        <v>1.2262226721871032</v>
      </c>
      <c r="W662" s="304">
        <f t="shared" ca="1" si="294"/>
        <v>57.950106495427441</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2.0205968671197345</v>
      </c>
      <c r="AH662" s="304">
        <f t="shared" ca="1" si="318"/>
        <v>-7.7473053736238322</v>
      </c>
    </row>
    <row r="663" spans="1:34" x14ac:dyDescent="0.2">
      <c r="A663" s="347">
        <f t="shared" ca="1" si="296"/>
        <v>1E-4</v>
      </c>
      <c r="B663" s="304">
        <f t="shared" ca="1" si="297"/>
        <v>34.713200000000661</v>
      </c>
      <c r="D663" s="306">
        <f t="shared" ca="1" si="298"/>
        <v>-0.71695636610449587</v>
      </c>
      <c r="E663" s="307">
        <f t="shared" ca="1" si="299"/>
        <v>-2.0959052720932485</v>
      </c>
      <c r="F663" s="304">
        <f t="shared" ca="1" si="300"/>
        <v>2.2151400272863198</v>
      </c>
      <c r="G663" s="306">
        <f t="shared" ca="1" si="301"/>
        <v>11.294882091116556</v>
      </c>
      <c r="H663" s="307">
        <f t="shared" ca="1" si="302"/>
        <v>-121.52830750219833</v>
      </c>
      <c r="I663" s="304">
        <f t="shared" ca="1" si="303"/>
        <v>122.05205400074634</v>
      </c>
      <c r="J663" s="306">
        <f t="shared" ca="1" si="304"/>
        <v>786.02923903053897</v>
      </c>
      <c r="K663" s="307">
        <f t="shared" ca="1" si="305"/>
        <v>-9.9881717350435366</v>
      </c>
      <c r="L663" s="304">
        <f t="shared" ca="1" si="290"/>
        <v>786.09269694199361</v>
      </c>
      <c r="M663" s="306">
        <f t="shared" ca="1" si="306"/>
        <v>-1.4781222127493274</v>
      </c>
      <c r="N663" s="304">
        <f t="shared" ca="1" si="307"/>
        <v>-84.690164395074831</v>
      </c>
      <c r="P663" s="310">
        <f t="shared" ca="1" si="308"/>
        <v>23</v>
      </c>
      <c r="Q663" s="304">
        <f t="shared" ca="1" si="309"/>
        <v>0</v>
      </c>
      <c r="R663" s="306">
        <f t="shared" ca="1" si="310"/>
        <v>0</v>
      </c>
      <c r="S663" s="307">
        <f t="shared" ca="1" si="311"/>
        <v>7.4799999999999969</v>
      </c>
      <c r="T663" s="304">
        <f t="shared" ca="1" si="291"/>
        <v>73.37879999999997</v>
      </c>
      <c r="U663" s="311">
        <f t="shared" ca="1" si="292"/>
        <v>0</v>
      </c>
      <c r="V663" s="306">
        <f t="shared" ca="1" si="293"/>
        <v>1.2262241623947545</v>
      </c>
      <c r="W663" s="304">
        <f t="shared" ca="1" si="294"/>
        <v>57.950368793873892</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2.0205624754508342</v>
      </c>
      <c r="AH663" s="304">
        <f t="shared" ca="1" si="318"/>
        <v>-7.7473404405651696</v>
      </c>
    </row>
    <row r="664" spans="1:34" x14ac:dyDescent="0.2">
      <c r="A664" s="347">
        <f t="shared" ca="1" si="296"/>
        <v>1E-4</v>
      </c>
      <c r="B664" s="304">
        <f t="shared" ca="1" si="297"/>
        <v>34.713300000000665</v>
      </c>
      <c r="D664" s="306">
        <f t="shared" ca="1" si="298"/>
        <v>-0.71695387337701288</v>
      </c>
      <c r="E664" s="307">
        <f t="shared" ca="1" si="299"/>
        <v>-2.0958698226534143</v>
      </c>
      <c r="F664" s="304">
        <f t="shared" ca="1" si="300"/>
        <v>2.2151056792080048</v>
      </c>
      <c r="G664" s="306">
        <f t="shared" ca="1" si="301"/>
        <v>11.294810395729218</v>
      </c>
      <c r="H664" s="307">
        <f t="shared" ca="1" si="302"/>
        <v>-121.5285170891806</v>
      </c>
      <c r="I664" s="304">
        <f t="shared" ca="1" si="303"/>
        <v>122.05225605358851</v>
      </c>
      <c r="J664" s="306">
        <f t="shared" ca="1" si="304"/>
        <v>786.02923903053897</v>
      </c>
      <c r="K664" s="307">
        <f t="shared" ca="1" si="305"/>
        <v>-10.000324576273105</v>
      </c>
      <c r="L664" s="304">
        <f t="shared" ca="1" si="290"/>
        <v>786.09285145112403</v>
      </c>
      <c r="M664" s="306">
        <f t="shared" ca="1" si="306"/>
        <v>-1.4781229565555463</v>
      </c>
      <c r="N664" s="304">
        <f t="shared" ca="1" si="307"/>
        <v>-84.690207012031934</v>
      </c>
      <c r="P664" s="310">
        <f t="shared" ca="1" si="308"/>
        <v>23</v>
      </c>
      <c r="Q664" s="304">
        <f t="shared" ca="1" si="309"/>
        <v>0</v>
      </c>
      <c r="R664" s="306">
        <f t="shared" ca="1" si="310"/>
        <v>0</v>
      </c>
      <c r="S664" s="307">
        <f t="shared" ca="1" si="311"/>
        <v>7.4799999999999969</v>
      </c>
      <c r="T664" s="304">
        <f t="shared" ca="1" si="291"/>
        <v>73.37879999999997</v>
      </c>
      <c r="U664" s="311">
        <f t="shared" ca="1" si="292"/>
        <v>0</v>
      </c>
      <c r="V664" s="306">
        <f t="shared" ca="1" si="293"/>
        <v>1.2262256526067881</v>
      </c>
      <c r="W664" s="304">
        <f t="shared" ca="1" si="294"/>
        <v>57.950631090045626</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2.0205280840741224</v>
      </c>
      <c r="AH664" s="304">
        <f t="shared" ca="1" si="318"/>
        <v>-7.7473755072023955</v>
      </c>
    </row>
    <row r="665" spans="1:34" x14ac:dyDescent="0.2">
      <c r="A665" s="347">
        <f t="shared" ca="1" si="296"/>
        <v>1E-4</v>
      </c>
      <c r="B665" s="304">
        <f t="shared" ca="1" si="297"/>
        <v>34.713400000000668</v>
      </c>
      <c r="D665" s="306">
        <f t="shared" ca="1" si="298"/>
        <v>-0.71695138062446762</v>
      </c>
      <c r="E665" s="307">
        <f t="shared" ca="1" si="299"/>
        <v>-2.0958343735209741</v>
      </c>
      <c r="F665" s="304">
        <f t="shared" ca="1" si="300"/>
        <v>2.2150713314499342</v>
      </c>
      <c r="G665" s="306">
        <f t="shared" ca="1" si="301"/>
        <v>11.294738700591155</v>
      </c>
      <c r="H665" s="307">
        <f t="shared" ca="1" si="302"/>
        <v>-121.52872667261795</v>
      </c>
      <c r="I665" s="304">
        <f t="shared" ca="1" si="303"/>
        <v>122.05245810299157</v>
      </c>
      <c r="J665" s="306">
        <f t="shared" ca="1" si="304"/>
        <v>786.02923903053897</v>
      </c>
      <c r="K665" s="307">
        <f t="shared" ca="1" si="305"/>
        <v>-10.012477438461195</v>
      </c>
      <c r="L665" s="304">
        <f t="shared" ca="1" si="290"/>
        <v>786.09300614837173</v>
      </c>
      <c r="M665" s="306">
        <f t="shared" ca="1" si="306"/>
        <v>-1.4781237003545808</v>
      </c>
      <c r="N665" s="304">
        <f t="shared" ca="1" si="307"/>
        <v>-84.690249628577433</v>
      </c>
      <c r="P665" s="310">
        <f t="shared" ca="1" si="308"/>
        <v>23</v>
      </c>
      <c r="Q665" s="304">
        <f t="shared" ca="1" si="309"/>
        <v>0</v>
      </c>
      <c r="R665" s="306">
        <f t="shared" ca="1" si="310"/>
        <v>0</v>
      </c>
      <c r="S665" s="307">
        <f t="shared" ca="1" si="311"/>
        <v>7.4799999999999969</v>
      </c>
      <c r="T665" s="304">
        <f t="shared" ca="1" si="291"/>
        <v>73.37879999999997</v>
      </c>
      <c r="U665" s="311">
        <f t="shared" ca="1" si="292"/>
        <v>0</v>
      </c>
      <c r="V665" s="306">
        <f t="shared" ca="1" si="293"/>
        <v>1.226227142823203</v>
      </c>
      <c r="W665" s="304">
        <f t="shared" ca="1" si="294"/>
        <v>57.950893383942606</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2.0204936929895876</v>
      </c>
      <c r="AH665" s="304">
        <f t="shared" ca="1" si="318"/>
        <v>-7.7474105735355145</v>
      </c>
    </row>
    <row r="666" spans="1:34" x14ac:dyDescent="0.2">
      <c r="A666" s="347">
        <f t="shared" ca="1" si="296"/>
        <v>1E-4</v>
      </c>
      <c r="B666" s="304">
        <f t="shared" ca="1" si="297"/>
        <v>34.713500000000671</v>
      </c>
      <c r="D666" s="306">
        <f t="shared" ca="1" si="298"/>
        <v>-0.71694888784686284</v>
      </c>
      <c r="E666" s="307">
        <f t="shared" ca="1" si="299"/>
        <v>-2.0957989246959299</v>
      </c>
      <c r="F666" s="304">
        <f t="shared" ca="1" si="300"/>
        <v>2.2150369840121109</v>
      </c>
      <c r="G666" s="306">
        <f t="shared" ca="1" si="301"/>
        <v>11.294667005702371</v>
      </c>
      <c r="H666" s="307">
        <f t="shared" ca="1" si="302"/>
        <v>-121.52893625251042</v>
      </c>
      <c r="I666" s="304">
        <f t="shared" ca="1" si="303"/>
        <v>122.05266014895555</v>
      </c>
      <c r="J666" s="306">
        <f t="shared" ca="1" si="304"/>
        <v>786.02923903053897</v>
      </c>
      <c r="K666" s="307">
        <f t="shared" ca="1" si="305"/>
        <v>-10.024630321607452</v>
      </c>
      <c r="L666" s="304">
        <f t="shared" ca="1" si="290"/>
        <v>786.09316103373715</v>
      </c>
      <c r="M666" s="306">
        <f t="shared" ca="1" si="306"/>
        <v>-1.4781244441464316</v>
      </c>
      <c r="N666" s="304">
        <f t="shared" ca="1" si="307"/>
        <v>-84.690292244711316</v>
      </c>
      <c r="P666" s="310">
        <f t="shared" ca="1" si="308"/>
        <v>23</v>
      </c>
      <c r="Q666" s="304">
        <f t="shared" ca="1" si="309"/>
        <v>0</v>
      </c>
      <c r="R666" s="306">
        <f t="shared" ca="1" si="310"/>
        <v>0</v>
      </c>
      <c r="S666" s="307">
        <f t="shared" ca="1" si="311"/>
        <v>7.4799999999999969</v>
      </c>
      <c r="T666" s="304">
        <f t="shared" ca="1" si="291"/>
        <v>73.37879999999997</v>
      </c>
      <c r="U666" s="311">
        <f t="shared" ca="1" si="292"/>
        <v>0</v>
      </c>
      <c r="V666" s="306">
        <f t="shared" ca="1" si="293"/>
        <v>1.2262286330440004</v>
      </c>
      <c r="W666" s="304">
        <f t="shared" ca="1" si="294"/>
        <v>57.951155675564898</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2.0204593021972403</v>
      </c>
      <c r="AH666" s="304">
        <f t="shared" ca="1" si="318"/>
        <v>-7.747445639564523</v>
      </c>
    </row>
    <row r="667" spans="1:34" x14ac:dyDescent="0.2">
      <c r="A667" s="347">
        <f t="shared" ca="1" si="296"/>
        <v>1E-4</v>
      </c>
      <c r="B667" s="304">
        <f t="shared" ca="1" si="297"/>
        <v>34.713600000000675</v>
      </c>
      <c r="D667" s="306">
        <f t="shared" ca="1" si="298"/>
        <v>-0.71694639504419699</v>
      </c>
      <c r="E667" s="307">
        <f t="shared" ca="1" si="299"/>
        <v>-2.0957634761782744</v>
      </c>
      <c r="F667" s="304">
        <f t="shared" ca="1" si="300"/>
        <v>2.2150026368945284</v>
      </c>
      <c r="G667" s="306">
        <f t="shared" ca="1" si="301"/>
        <v>11.294595311062865</v>
      </c>
      <c r="H667" s="307">
        <f t="shared" ca="1" si="302"/>
        <v>-121.52914582885803</v>
      </c>
      <c r="I667" s="304">
        <f t="shared" ca="1" si="303"/>
        <v>122.05286219148049</v>
      </c>
      <c r="J667" s="306">
        <f t="shared" ca="1" si="304"/>
        <v>786.02923903053897</v>
      </c>
      <c r="K667" s="307">
        <f t="shared" ca="1" si="305"/>
        <v>-10.03678322571152</v>
      </c>
      <c r="L667" s="304">
        <f t="shared" ca="1" si="290"/>
        <v>786.09331610722154</v>
      </c>
      <c r="M667" s="306">
        <f t="shared" ca="1" si="306"/>
        <v>-1.4781251879310986</v>
      </c>
      <c r="N667" s="304">
        <f t="shared" ca="1" si="307"/>
        <v>-84.690334860433595</v>
      </c>
      <c r="P667" s="310">
        <f t="shared" ca="1" si="308"/>
        <v>23</v>
      </c>
      <c r="Q667" s="304">
        <f t="shared" ca="1" si="309"/>
        <v>0</v>
      </c>
      <c r="R667" s="306">
        <f t="shared" ca="1" si="310"/>
        <v>0</v>
      </c>
      <c r="S667" s="307">
        <f t="shared" ca="1" si="311"/>
        <v>7.4799999999999969</v>
      </c>
      <c r="T667" s="304">
        <f t="shared" ca="1" si="291"/>
        <v>73.37879999999997</v>
      </c>
      <c r="U667" s="311">
        <f t="shared" ca="1" si="292"/>
        <v>0</v>
      </c>
      <c r="V667" s="306">
        <f t="shared" ca="1" si="293"/>
        <v>1.2262301232691795</v>
      </c>
      <c r="W667" s="304">
        <f t="shared" ca="1" si="294"/>
        <v>57.951417964912451</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2.0204249116970718</v>
      </c>
      <c r="AH667" s="304">
        <f t="shared" ca="1" si="318"/>
        <v>-7.7474807052894281</v>
      </c>
    </row>
    <row r="668" spans="1:34" x14ac:dyDescent="0.2">
      <c r="A668" s="347">
        <f t="shared" ca="1" si="296"/>
        <v>1E-4</v>
      </c>
      <c r="B668" s="304">
        <f t="shared" ca="1" si="297"/>
        <v>34.713700000000678</v>
      </c>
      <c r="D668" s="306">
        <f t="shared" ca="1" si="298"/>
        <v>-0.71694390221647142</v>
      </c>
      <c r="E668" s="307">
        <f t="shared" ca="1" si="299"/>
        <v>-2.0957280279680148</v>
      </c>
      <c r="F668" s="304">
        <f t="shared" ca="1" si="300"/>
        <v>2.2149682900971936</v>
      </c>
      <c r="G668" s="306">
        <f t="shared" ca="1" si="301"/>
        <v>11.294523616672643</v>
      </c>
      <c r="H668" s="307">
        <f t="shared" ca="1" si="302"/>
        <v>-121.52935540166084</v>
      </c>
      <c r="I668" s="304">
        <f t="shared" ca="1" si="303"/>
        <v>122.05306423056639</v>
      </c>
      <c r="J668" s="306">
        <f t="shared" ca="1" si="304"/>
        <v>786.02923903053897</v>
      </c>
      <c r="K668" s="307">
        <f t="shared" ca="1" si="305"/>
        <v>-10.048936150773047</v>
      </c>
      <c r="L668" s="304">
        <f t="shared" ca="1" si="290"/>
        <v>786.09347136882548</v>
      </c>
      <c r="M668" s="306">
        <f t="shared" ca="1" si="306"/>
        <v>-1.4781259317085818</v>
      </c>
      <c r="N668" s="304">
        <f t="shared" ca="1" si="307"/>
        <v>-84.690377475744285</v>
      </c>
      <c r="P668" s="310">
        <f t="shared" ca="1" si="308"/>
        <v>23</v>
      </c>
      <c r="Q668" s="304">
        <f t="shared" ca="1" si="309"/>
        <v>0</v>
      </c>
      <c r="R668" s="306">
        <f t="shared" ca="1" si="310"/>
        <v>0</v>
      </c>
      <c r="S668" s="307">
        <f t="shared" ca="1" si="311"/>
        <v>7.4799999999999969</v>
      </c>
      <c r="T668" s="304">
        <f t="shared" ca="1" si="291"/>
        <v>73.37879999999997</v>
      </c>
      <c r="U668" s="311">
        <f t="shared" ca="1" si="292"/>
        <v>0</v>
      </c>
      <c r="V668" s="306">
        <f t="shared" ca="1" si="293"/>
        <v>1.2262316134987403</v>
      </c>
      <c r="W668" s="304">
        <f t="shared" ca="1" si="294"/>
        <v>57.951680251985287</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2.0203905214890838</v>
      </c>
      <c r="AH668" s="304">
        <f t="shared" ca="1" si="318"/>
        <v>-7.7475157707102245</v>
      </c>
    </row>
    <row r="669" spans="1:34" x14ac:dyDescent="0.2">
      <c r="A669" s="347">
        <f t="shared" ca="1" si="296"/>
        <v>1E-4</v>
      </c>
      <c r="B669" s="304">
        <f t="shared" ca="1" si="297"/>
        <v>34.713800000000681</v>
      </c>
      <c r="D669" s="306">
        <f t="shared" ca="1" si="298"/>
        <v>-0.71694140936368733</v>
      </c>
      <c r="E669" s="307">
        <f t="shared" ca="1" si="299"/>
        <v>-2.0956925800651494</v>
      </c>
      <c r="F669" s="304">
        <f t="shared" ca="1" si="300"/>
        <v>2.2149339436201054</v>
      </c>
      <c r="G669" s="306">
        <f t="shared" ca="1" si="301"/>
        <v>11.294451922531707</v>
      </c>
      <c r="H669" s="307">
        <f t="shared" ca="1" si="302"/>
        <v>-121.52956497091884</v>
      </c>
      <c r="I669" s="304">
        <f t="shared" ca="1" si="303"/>
        <v>122.05326626621331</v>
      </c>
      <c r="J669" s="306">
        <f t="shared" ca="1" si="304"/>
        <v>786.02923903053897</v>
      </c>
      <c r="K669" s="307">
        <f t="shared" ca="1" si="305"/>
        <v>-10.061089096791676</v>
      </c>
      <c r="L669" s="304">
        <f t="shared" ca="1" si="290"/>
        <v>786.09362681854998</v>
      </c>
      <c r="M669" s="306">
        <f t="shared" ca="1" si="306"/>
        <v>-1.4781266754788813</v>
      </c>
      <c r="N669" s="304">
        <f t="shared" ca="1" si="307"/>
        <v>-84.690420090643372</v>
      </c>
      <c r="P669" s="310">
        <f t="shared" ca="1" si="308"/>
        <v>23</v>
      </c>
      <c r="Q669" s="304">
        <f t="shared" ca="1" si="309"/>
        <v>0</v>
      </c>
      <c r="R669" s="306">
        <f t="shared" ca="1" si="310"/>
        <v>0</v>
      </c>
      <c r="S669" s="307">
        <f t="shared" ca="1" si="311"/>
        <v>7.4799999999999969</v>
      </c>
      <c r="T669" s="304">
        <f t="shared" ca="1" si="291"/>
        <v>73.37879999999997</v>
      </c>
      <c r="U669" s="311">
        <f t="shared" ca="1" si="292"/>
        <v>0</v>
      </c>
      <c r="V669" s="306">
        <f t="shared" ca="1" si="293"/>
        <v>1.226233103732683</v>
      </c>
      <c r="W669" s="304">
        <f t="shared" ca="1" si="294"/>
        <v>57.951942536783406</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2.020356131573279</v>
      </c>
      <c r="AH669" s="304">
        <f t="shared" ca="1" si="318"/>
        <v>-7.747550835826913</v>
      </c>
    </row>
    <row r="670" spans="1:34" x14ac:dyDescent="0.2">
      <c r="A670" s="347">
        <f t="shared" ca="1" si="296"/>
        <v>1E-4</v>
      </c>
      <c r="B670" s="304">
        <f t="shared" ca="1" si="297"/>
        <v>34.713900000000685</v>
      </c>
      <c r="D670" s="306">
        <f t="shared" ca="1" si="298"/>
        <v>-0.71693891648584485</v>
      </c>
      <c r="E670" s="307">
        <f t="shared" ca="1" si="299"/>
        <v>-2.0956571324696744</v>
      </c>
      <c r="F670" s="304">
        <f t="shared" ca="1" si="300"/>
        <v>2.214899597463261</v>
      </c>
      <c r="G670" s="306">
        <f t="shared" ca="1" si="301"/>
        <v>11.294380228640058</v>
      </c>
      <c r="H670" s="307">
        <f t="shared" ca="1" si="302"/>
        <v>-121.52977453663209</v>
      </c>
      <c r="I670" s="304">
        <f t="shared" ca="1" si="303"/>
        <v>122.05346829842127</v>
      </c>
      <c r="J670" s="306">
        <f t="shared" ca="1" si="304"/>
        <v>786.02923903053897</v>
      </c>
      <c r="K670" s="307">
        <f t="shared" ca="1" si="305"/>
        <v>-10.073242063767054</v>
      </c>
      <c r="L670" s="304">
        <f t="shared" ca="1" si="290"/>
        <v>786.09378245639584</v>
      </c>
      <c r="M670" s="306">
        <f t="shared" ca="1" si="306"/>
        <v>-1.4781274192419973</v>
      </c>
      <c r="N670" s="304">
        <f t="shared" ca="1" si="307"/>
        <v>-84.690462705130869</v>
      </c>
      <c r="P670" s="310">
        <f t="shared" ca="1" si="308"/>
        <v>23</v>
      </c>
      <c r="Q670" s="304">
        <f t="shared" ca="1" si="309"/>
        <v>0</v>
      </c>
      <c r="R670" s="306">
        <f t="shared" ca="1" si="310"/>
        <v>0</v>
      </c>
      <c r="S670" s="307">
        <f t="shared" ca="1" si="311"/>
        <v>7.4799999999999969</v>
      </c>
      <c r="T670" s="304">
        <f t="shared" ca="1" si="291"/>
        <v>73.37879999999997</v>
      </c>
      <c r="U670" s="311">
        <f t="shared" ca="1" si="292"/>
        <v>0</v>
      </c>
      <c r="V670" s="306">
        <f t="shared" ca="1" si="293"/>
        <v>1.2262345939710078</v>
      </c>
      <c r="W670" s="304">
        <f t="shared" ca="1" si="294"/>
        <v>57.952204819306814</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2.0203217419496564</v>
      </c>
      <c r="AH670" s="304">
        <f t="shared" ca="1" si="318"/>
        <v>-7.7475859006394963</v>
      </c>
    </row>
    <row r="671" spans="1:34" x14ac:dyDescent="0.2">
      <c r="A671" s="347">
        <f t="shared" ca="1" si="296"/>
        <v>1E-4</v>
      </c>
      <c r="B671" s="304">
        <f t="shared" ca="1" si="297"/>
        <v>34.714000000000688</v>
      </c>
      <c r="D671" s="306">
        <f t="shared" ca="1" si="298"/>
        <v>-0.71693642358294529</v>
      </c>
      <c r="E671" s="307">
        <f t="shared" ca="1" si="299"/>
        <v>-2.0956216851815919</v>
      </c>
      <c r="F671" s="304">
        <f t="shared" ca="1" si="300"/>
        <v>2.2148652516266627</v>
      </c>
      <c r="G671" s="306">
        <f t="shared" ca="1" si="301"/>
        <v>11.2943085349977</v>
      </c>
      <c r="H671" s="307">
        <f t="shared" ca="1" si="302"/>
        <v>-121.52998409880061</v>
      </c>
      <c r="I671" s="304">
        <f t="shared" ca="1" si="303"/>
        <v>122.05367032719029</v>
      </c>
      <c r="J671" s="306">
        <f t="shared" ca="1" si="304"/>
        <v>786.02923903053897</v>
      </c>
      <c r="K671" s="307">
        <f t="shared" ca="1" si="305"/>
        <v>-10.085395051698827</v>
      </c>
      <c r="L671" s="304">
        <f t="shared" ca="1" si="290"/>
        <v>786.09393828236398</v>
      </c>
      <c r="M671" s="306">
        <f t="shared" ca="1" si="306"/>
        <v>-1.4781281629979299</v>
      </c>
      <c r="N671" s="304">
        <f t="shared" ca="1" si="307"/>
        <v>-84.690505319206807</v>
      </c>
      <c r="P671" s="310">
        <f t="shared" ca="1" si="308"/>
        <v>23</v>
      </c>
      <c r="Q671" s="304">
        <f t="shared" ca="1" si="309"/>
        <v>0</v>
      </c>
      <c r="R671" s="306">
        <f t="shared" ca="1" si="310"/>
        <v>0</v>
      </c>
      <c r="S671" s="307">
        <f t="shared" ca="1" si="311"/>
        <v>7.4799999999999969</v>
      </c>
      <c r="T671" s="304">
        <f t="shared" ca="1" si="291"/>
        <v>73.37879999999997</v>
      </c>
      <c r="U671" s="311">
        <f t="shared" ca="1" si="292"/>
        <v>0</v>
      </c>
      <c r="V671" s="306">
        <f t="shared" ca="1" si="293"/>
        <v>1.2262360842137137</v>
      </c>
      <c r="W671" s="304">
        <f t="shared" ca="1" si="294"/>
        <v>57.952467099555484</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2.0202873526182152</v>
      </c>
      <c r="AH671" s="304">
        <f t="shared" ca="1" si="318"/>
        <v>-7.7476209651479735</v>
      </c>
    </row>
    <row r="672" spans="1:34" x14ac:dyDescent="0.2">
      <c r="A672" s="347">
        <f t="shared" ca="1" si="296"/>
        <v>1E-4</v>
      </c>
      <c r="B672" s="304">
        <f t="shared" ca="1" si="297"/>
        <v>34.714100000000691</v>
      </c>
      <c r="D672" s="306">
        <f t="shared" ca="1" si="298"/>
        <v>-0.71693393065498801</v>
      </c>
      <c r="E672" s="307">
        <f t="shared" ca="1" si="299"/>
        <v>-2.0955862382009052</v>
      </c>
      <c r="F672" s="304">
        <f t="shared" ca="1" si="300"/>
        <v>2.2148309061103135</v>
      </c>
      <c r="G672" s="306">
        <f t="shared" ca="1" si="301"/>
        <v>11.294236841604635</v>
      </c>
      <c r="H672" s="307">
        <f t="shared" ca="1" si="302"/>
        <v>-121.53019365742443</v>
      </c>
      <c r="I672" s="304">
        <f t="shared" ca="1" si="303"/>
        <v>122.05387235252041</v>
      </c>
      <c r="J672" s="306">
        <f t="shared" ca="1" si="304"/>
        <v>786.02923903053897</v>
      </c>
      <c r="K672" s="307">
        <f t="shared" ca="1" si="305"/>
        <v>-10.097548060586638</v>
      </c>
      <c r="L672" s="304">
        <f t="shared" ca="1" si="290"/>
        <v>786.09409429645507</v>
      </c>
      <c r="M672" s="306">
        <f t="shared" ca="1" si="306"/>
        <v>-1.4781289067466794</v>
      </c>
      <c r="N672" s="304">
        <f t="shared" ca="1" si="307"/>
        <v>-84.690547932871169</v>
      </c>
      <c r="P672" s="310">
        <f t="shared" ca="1" si="308"/>
        <v>23</v>
      </c>
      <c r="Q672" s="304">
        <f t="shared" ca="1" si="309"/>
        <v>0</v>
      </c>
      <c r="R672" s="306">
        <f t="shared" ca="1" si="310"/>
        <v>0</v>
      </c>
      <c r="S672" s="307">
        <f t="shared" ca="1" si="311"/>
        <v>7.4799999999999969</v>
      </c>
      <c r="T672" s="304">
        <f t="shared" ca="1" si="291"/>
        <v>73.37879999999997</v>
      </c>
      <c r="U672" s="311">
        <f t="shared" ca="1" si="292"/>
        <v>0</v>
      </c>
      <c r="V672" s="306">
        <f t="shared" ca="1" si="293"/>
        <v>1.2262375744608021</v>
      </c>
      <c r="W672" s="304">
        <f t="shared" ca="1" si="294"/>
        <v>57.952729377529479</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2.0202529635789572</v>
      </c>
      <c r="AH672" s="304">
        <f t="shared" ca="1" si="318"/>
        <v>-7.7476560293523411</v>
      </c>
    </row>
    <row r="673" spans="1:34" x14ac:dyDescent="0.2">
      <c r="A673" s="347">
        <f t="shared" ca="1" si="296"/>
        <v>1E-4</v>
      </c>
      <c r="B673" s="304">
        <f t="shared" ca="1" si="297"/>
        <v>34.714200000000695</v>
      </c>
      <c r="D673" s="306">
        <f t="shared" ca="1" si="298"/>
        <v>-0.71693143770197343</v>
      </c>
      <c r="E673" s="307">
        <f t="shared" ca="1" si="299"/>
        <v>-2.0955507915276064</v>
      </c>
      <c r="F673" s="304">
        <f t="shared" ca="1" si="300"/>
        <v>2.2147965609142064</v>
      </c>
      <c r="G673" s="306">
        <f t="shared" ca="1" si="301"/>
        <v>11.294165148460865</v>
      </c>
      <c r="H673" s="307">
        <f t="shared" ca="1" si="302"/>
        <v>-121.53040321250359</v>
      </c>
      <c r="I673" s="304">
        <f t="shared" ca="1" si="303"/>
        <v>122.05407437441164</v>
      </c>
      <c r="J673" s="306">
        <f t="shared" ca="1" si="304"/>
        <v>786.02923903053897</v>
      </c>
      <c r="K673" s="307">
        <f t="shared" ca="1" si="305"/>
        <v>-10.109701090430134</v>
      </c>
      <c r="L673" s="304">
        <f t="shared" ca="1" si="290"/>
        <v>786.09425049867014</v>
      </c>
      <c r="M673" s="306">
        <f t="shared" ca="1" si="306"/>
        <v>-1.4781296504882455</v>
      </c>
      <c r="N673" s="304">
        <f t="shared" ca="1" si="307"/>
        <v>-84.690590546123957</v>
      </c>
      <c r="P673" s="310">
        <f t="shared" ca="1" si="308"/>
        <v>23</v>
      </c>
      <c r="Q673" s="304">
        <f t="shared" ca="1" si="309"/>
        <v>0</v>
      </c>
      <c r="R673" s="306">
        <f t="shared" ca="1" si="310"/>
        <v>0</v>
      </c>
      <c r="S673" s="307">
        <f t="shared" ca="1" si="311"/>
        <v>7.4799999999999969</v>
      </c>
      <c r="T673" s="304">
        <f t="shared" ca="1" si="291"/>
        <v>73.37879999999997</v>
      </c>
      <c r="U673" s="311">
        <f t="shared" ca="1" si="292"/>
        <v>0</v>
      </c>
      <c r="V673" s="306">
        <f t="shared" ca="1" si="293"/>
        <v>1.2262390647122714</v>
      </c>
      <c r="W673" s="304">
        <f t="shared" ca="1" si="294"/>
        <v>57.9529916532287</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2.0202185748318762</v>
      </c>
      <c r="AH673" s="304">
        <f t="shared" ca="1" si="318"/>
        <v>-7.7476910932526071</v>
      </c>
    </row>
    <row r="674" spans="1:34" x14ac:dyDescent="0.2">
      <c r="A674" s="347">
        <f t="shared" ca="1" si="296"/>
        <v>1E-4</v>
      </c>
      <c r="B674" s="304">
        <f t="shared" ca="1" si="297"/>
        <v>34.714300000000698</v>
      </c>
      <c r="D674" s="306">
        <f t="shared" ca="1" si="298"/>
        <v>-0.71692894472390378</v>
      </c>
      <c r="E674" s="307">
        <f t="shared" ca="1" si="299"/>
        <v>-2.0955153451617061</v>
      </c>
      <c r="F674" s="304">
        <f t="shared" ca="1" si="300"/>
        <v>2.2147622160383524</v>
      </c>
      <c r="G674" s="306">
        <f t="shared" ca="1" si="301"/>
        <v>11.294093455566392</v>
      </c>
      <c r="H674" s="307">
        <f t="shared" ca="1" si="302"/>
        <v>-121.5306127640381</v>
      </c>
      <c r="I674" s="304">
        <f t="shared" ca="1" si="303"/>
        <v>122.05427639286404</v>
      </c>
      <c r="J674" s="306">
        <f t="shared" ca="1" si="304"/>
        <v>786.02923903053897</v>
      </c>
      <c r="K674" s="307">
        <f t="shared" ca="1" si="305"/>
        <v>-10.121854141228962</v>
      </c>
      <c r="L674" s="304">
        <f t="shared" ca="1" si="290"/>
        <v>786.09440688901009</v>
      </c>
      <c r="M674" s="306">
        <f t="shared" ca="1" si="306"/>
        <v>-1.4781303942226285</v>
      </c>
      <c r="N674" s="304">
        <f t="shared" ca="1" si="307"/>
        <v>-84.69063315896517</v>
      </c>
      <c r="P674" s="310">
        <f t="shared" ca="1" si="308"/>
        <v>23</v>
      </c>
      <c r="Q674" s="304">
        <f t="shared" ca="1" si="309"/>
        <v>0</v>
      </c>
      <c r="R674" s="306">
        <f t="shared" ca="1" si="310"/>
        <v>0</v>
      </c>
      <c r="S674" s="307">
        <f t="shared" ca="1" si="311"/>
        <v>7.4799999999999969</v>
      </c>
      <c r="T674" s="304">
        <f t="shared" ca="1" si="291"/>
        <v>73.37879999999997</v>
      </c>
      <c r="U674" s="311">
        <f t="shared" ca="1" si="292"/>
        <v>0</v>
      </c>
      <c r="V674" s="306">
        <f t="shared" ca="1" si="293"/>
        <v>1.2262405549681223</v>
      </c>
      <c r="W674" s="304">
        <f t="shared" ca="1" si="294"/>
        <v>57.953253926653225</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2.0201841863769872</v>
      </c>
      <c r="AH674" s="304">
        <f t="shared" ca="1" si="318"/>
        <v>-7.7477261568487599</v>
      </c>
    </row>
    <row r="675" spans="1:34" x14ac:dyDescent="0.2">
      <c r="A675" s="347">
        <f t="shared" ca="1" si="296"/>
        <v>1E-4</v>
      </c>
      <c r="B675" s="304">
        <f t="shared" ca="1" si="297"/>
        <v>34.714400000000701</v>
      </c>
      <c r="D675" s="306">
        <f t="shared" ca="1" si="298"/>
        <v>-0.71692645172077962</v>
      </c>
      <c r="E675" s="307">
        <f t="shared" ca="1" si="299"/>
        <v>-2.0954798991031964</v>
      </c>
      <c r="F675" s="304">
        <f t="shared" ca="1" si="300"/>
        <v>2.214727871482745</v>
      </c>
      <c r="G675" s="306">
        <f t="shared" ca="1" si="301"/>
        <v>11.29402176292122</v>
      </c>
      <c r="H675" s="307">
        <f t="shared" ca="1" si="302"/>
        <v>-121.53082231202801</v>
      </c>
      <c r="I675" s="304">
        <f t="shared" ca="1" si="303"/>
        <v>122.05447840787761</v>
      </c>
      <c r="J675" s="306">
        <f t="shared" ca="1" si="304"/>
        <v>786.02923903053897</v>
      </c>
      <c r="K675" s="307">
        <f t="shared" ca="1" si="305"/>
        <v>-10.134007212982764</v>
      </c>
      <c r="L675" s="304">
        <f t="shared" ca="1" si="290"/>
        <v>786.09456346747561</v>
      </c>
      <c r="M675" s="306">
        <f t="shared" ca="1" si="306"/>
        <v>-1.4781311379498283</v>
      </c>
      <c r="N675" s="304">
        <f t="shared" ca="1" si="307"/>
        <v>-84.690675771394837</v>
      </c>
      <c r="P675" s="310">
        <f t="shared" ca="1" si="308"/>
        <v>23</v>
      </c>
      <c r="Q675" s="304">
        <f t="shared" ca="1" si="309"/>
        <v>0</v>
      </c>
      <c r="R675" s="306">
        <f t="shared" ca="1" si="310"/>
        <v>0</v>
      </c>
      <c r="S675" s="307">
        <f t="shared" ca="1" si="311"/>
        <v>7.4799999999999969</v>
      </c>
      <c r="T675" s="304">
        <f t="shared" ca="1" si="291"/>
        <v>73.37879999999997</v>
      </c>
      <c r="U675" s="311">
        <f t="shared" ca="1" si="292"/>
        <v>0</v>
      </c>
      <c r="V675" s="306">
        <f t="shared" ca="1" si="293"/>
        <v>1.2262420452283556</v>
      </c>
      <c r="W675" s="304">
        <f t="shared" ca="1" si="294"/>
        <v>57.953516197803069</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2.0201497982142778</v>
      </c>
      <c r="AH675" s="304">
        <f t="shared" ca="1" si="318"/>
        <v>-7.7477612201408084</v>
      </c>
    </row>
    <row r="676" spans="1:34" x14ac:dyDescent="0.2">
      <c r="A676" s="347">
        <f t="shared" ca="1" si="296"/>
        <v>1E-4</v>
      </c>
      <c r="B676" s="304">
        <f t="shared" ca="1" si="297"/>
        <v>34.714500000000704</v>
      </c>
      <c r="D676" s="306">
        <f t="shared" ca="1" si="298"/>
        <v>-0.7169239586926025</v>
      </c>
      <c r="E676" s="307">
        <f t="shared" ca="1" si="299"/>
        <v>-2.0954444533520737</v>
      </c>
      <c r="F676" s="304">
        <f t="shared" ca="1" si="300"/>
        <v>2.2146935272473804</v>
      </c>
      <c r="G676" s="306">
        <f t="shared" ca="1" si="301"/>
        <v>11.293950070525351</v>
      </c>
      <c r="H676" s="307">
        <f t="shared" ca="1" si="302"/>
        <v>-121.53103185647335</v>
      </c>
      <c r="I676" s="304">
        <f t="shared" ca="1" si="303"/>
        <v>122.05468041945241</v>
      </c>
      <c r="J676" s="306">
        <f t="shared" ca="1" si="304"/>
        <v>786.02923903053897</v>
      </c>
      <c r="K676" s="307">
        <f t="shared" ca="1" si="305"/>
        <v>-10.14616030569119</v>
      </c>
      <c r="L676" s="304">
        <f t="shared" ca="1" si="290"/>
        <v>786.09472023406761</v>
      </c>
      <c r="M676" s="306">
        <f t="shared" ca="1" si="306"/>
        <v>-1.4781318816698454</v>
      </c>
      <c r="N676" s="304">
        <f t="shared" ca="1" si="307"/>
        <v>-84.690718383412957</v>
      </c>
      <c r="P676" s="310">
        <f t="shared" ca="1" si="308"/>
        <v>23</v>
      </c>
      <c r="Q676" s="304">
        <f t="shared" ca="1" si="309"/>
        <v>0</v>
      </c>
      <c r="R676" s="306">
        <f t="shared" ca="1" si="310"/>
        <v>0</v>
      </c>
      <c r="S676" s="307">
        <f t="shared" ca="1" si="311"/>
        <v>7.4799999999999969</v>
      </c>
      <c r="T676" s="304">
        <f t="shared" ca="1" si="291"/>
        <v>73.37879999999997</v>
      </c>
      <c r="U676" s="311">
        <f t="shared" ca="1" si="292"/>
        <v>0</v>
      </c>
      <c r="V676" s="306">
        <f t="shared" ca="1" si="293"/>
        <v>1.2262435354929704</v>
      </c>
      <c r="W676" s="304">
        <f t="shared" ca="1" si="294"/>
        <v>57.953778466678209</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2.0201154103437462</v>
      </c>
      <c r="AH676" s="304">
        <f t="shared" ca="1" si="318"/>
        <v>-7.7477962831287561</v>
      </c>
    </row>
    <row r="677" spans="1:34" x14ac:dyDescent="0.2">
      <c r="A677" s="347">
        <f t="shared" ca="1" si="296"/>
        <v>1E-4</v>
      </c>
      <c r="B677" s="304">
        <f t="shared" ca="1" si="297"/>
        <v>34.714600000000708</v>
      </c>
      <c r="D677" s="306">
        <f t="shared" ca="1" si="298"/>
        <v>-0.7169214656393702</v>
      </c>
      <c r="E677" s="307">
        <f t="shared" ca="1" si="299"/>
        <v>-2.0954090079083425</v>
      </c>
      <c r="F677" s="304">
        <f t="shared" ca="1" si="300"/>
        <v>2.2146591833322633</v>
      </c>
      <c r="G677" s="306">
        <f t="shared" ca="1" si="301"/>
        <v>11.293878378378787</v>
      </c>
      <c r="H677" s="307">
        <f t="shared" ca="1" si="302"/>
        <v>-121.53124139737415</v>
      </c>
      <c r="I677" s="304">
        <f t="shared" ca="1" si="303"/>
        <v>122.05488242758844</v>
      </c>
      <c r="J677" s="306">
        <f t="shared" ca="1" si="304"/>
        <v>786.02923903053897</v>
      </c>
      <c r="K677" s="307">
        <f t="shared" ca="1" si="305"/>
        <v>-10.158313419353883</v>
      </c>
      <c r="L677" s="304">
        <f t="shared" ca="1" si="290"/>
        <v>786.09487718878688</v>
      </c>
      <c r="M677" s="306">
        <f t="shared" ca="1" si="306"/>
        <v>-1.4781326253826799</v>
      </c>
      <c r="N677" s="304">
        <f t="shared" ca="1" si="307"/>
        <v>-84.690760995019531</v>
      </c>
      <c r="P677" s="310">
        <f t="shared" ca="1" si="308"/>
        <v>23</v>
      </c>
      <c r="Q677" s="304">
        <f t="shared" ca="1" si="309"/>
        <v>0</v>
      </c>
      <c r="R677" s="306">
        <f t="shared" ca="1" si="310"/>
        <v>0</v>
      </c>
      <c r="S677" s="307">
        <f t="shared" ca="1" si="311"/>
        <v>7.4799999999999969</v>
      </c>
      <c r="T677" s="304">
        <f t="shared" ca="1" si="291"/>
        <v>73.37879999999997</v>
      </c>
      <c r="U677" s="311">
        <f t="shared" ca="1" si="292"/>
        <v>0</v>
      </c>
      <c r="V677" s="306">
        <f t="shared" ca="1" si="293"/>
        <v>1.2262450257619661</v>
      </c>
      <c r="W677" s="304">
        <f t="shared" ca="1" si="294"/>
        <v>57.954040733278603</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2.0200810227653978</v>
      </c>
      <c r="AH677" s="304">
        <f t="shared" ca="1" si="318"/>
        <v>-7.7478313458125978</v>
      </c>
    </row>
    <row r="678" spans="1:34" x14ac:dyDescent="0.2">
      <c r="A678" s="347">
        <f t="shared" ca="1" si="296"/>
        <v>1E-4</v>
      </c>
      <c r="B678" s="304">
        <f t="shared" ca="1" si="297"/>
        <v>34.714700000000711</v>
      </c>
      <c r="D678" s="306">
        <f t="shared" ca="1" si="298"/>
        <v>-0.71691897256108361</v>
      </c>
      <c r="E678" s="307">
        <f t="shared" ca="1" si="299"/>
        <v>-2.095373562772008</v>
      </c>
      <c r="F678" s="304">
        <f t="shared" ca="1" si="300"/>
        <v>2.2146248397373984</v>
      </c>
      <c r="G678" s="306">
        <f t="shared" ca="1" si="301"/>
        <v>11.293806686481531</v>
      </c>
      <c r="H678" s="307">
        <f t="shared" ca="1" si="302"/>
        <v>-121.53145093473043</v>
      </c>
      <c r="I678" s="304">
        <f t="shared" ca="1" si="303"/>
        <v>122.05508443228577</v>
      </c>
      <c r="J678" s="306">
        <f t="shared" ca="1" si="304"/>
        <v>786.02923903053897</v>
      </c>
      <c r="K678" s="307">
        <f t="shared" ca="1" si="305"/>
        <v>-10.170466553970488</v>
      </c>
      <c r="L678" s="304">
        <f t="shared" ca="1" si="290"/>
        <v>786.09503433163445</v>
      </c>
      <c r="M678" s="306">
        <f t="shared" ca="1" si="306"/>
        <v>-1.4781333690883314</v>
      </c>
      <c r="N678" s="304">
        <f t="shared" ca="1" si="307"/>
        <v>-84.690803606214573</v>
      </c>
      <c r="P678" s="310">
        <f t="shared" ca="1" si="308"/>
        <v>23</v>
      </c>
      <c r="Q678" s="304">
        <f t="shared" ca="1" si="309"/>
        <v>0</v>
      </c>
      <c r="R678" s="306">
        <f t="shared" ca="1" si="310"/>
        <v>0</v>
      </c>
      <c r="S678" s="307">
        <f t="shared" ca="1" si="311"/>
        <v>7.4799999999999969</v>
      </c>
      <c r="T678" s="304">
        <f t="shared" ca="1" si="291"/>
        <v>73.37879999999997</v>
      </c>
      <c r="U678" s="311">
        <f t="shared" ca="1" si="292"/>
        <v>0</v>
      </c>
      <c r="V678" s="306">
        <f t="shared" ca="1" si="293"/>
        <v>1.2262465160353435</v>
      </c>
      <c r="W678" s="304">
        <f t="shared" ca="1" si="294"/>
        <v>57.954302997604316</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2.0200466354792344</v>
      </c>
      <c r="AH678" s="304">
        <f t="shared" ca="1" si="318"/>
        <v>-7.7478664081923299</v>
      </c>
    </row>
    <row r="679" spans="1:34" x14ac:dyDescent="0.2">
      <c r="A679" s="347">
        <f t="shared" ca="1" si="296"/>
        <v>1E-4</v>
      </c>
      <c r="B679" s="304">
        <f t="shared" ca="1" si="297"/>
        <v>34.714800000000714</v>
      </c>
      <c r="D679" s="306">
        <f t="shared" ca="1" si="298"/>
        <v>-0.71691647945774672</v>
      </c>
      <c r="E679" s="307">
        <f t="shared" ca="1" si="299"/>
        <v>-2.0953381179430606</v>
      </c>
      <c r="F679" s="304">
        <f t="shared" ca="1" si="300"/>
        <v>2.2145904964627787</v>
      </c>
      <c r="G679" s="306">
        <f t="shared" ca="1" si="301"/>
        <v>11.293734994833585</v>
      </c>
      <c r="H679" s="307">
        <f t="shared" ca="1" si="302"/>
        <v>-121.53166046854223</v>
      </c>
      <c r="I679" s="304">
        <f t="shared" ca="1" si="303"/>
        <v>122.05528643354435</v>
      </c>
      <c r="J679" s="306">
        <f t="shared" ca="1" si="304"/>
        <v>786.02923903053897</v>
      </c>
      <c r="K679" s="307">
        <f t="shared" ca="1" si="305"/>
        <v>-10.182619709540653</v>
      </c>
      <c r="L679" s="304">
        <f t="shared" ca="1" si="290"/>
        <v>786.09519166261111</v>
      </c>
      <c r="M679" s="306">
        <f t="shared" ca="1" si="306"/>
        <v>-1.4781341127868002</v>
      </c>
      <c r="N679" s="304">
        <f t="shared" ca="1" si="307"/>
        <v>-84.690846216998068</v>
      </c>
      <c r="P679" s="310">
        <f t="shared" ca="1" si="308"/>
        <v>23</v>
      </c>
      <c r="Q679" s="304">
        <f t="shared" ca="1" si="309"/>
        <v>0</v>
      </c>
      <c r="R679" s="306">
        <f t="shared" ca="1" si="310"/>
        <v>0</v>
      </c>
      <c r="S679" s="307">
        <f t="shared" ca="1" si="311"/>
        <v>7.4799999999999969</v>
      </c>
      <c r="T679" s="304">
        <f t="shared" ca="1" si="291"/>
        <v>73.37879999999997</v>
      </c>
      <c r="U679" s="311">
        <f t="shared" ca="1" si="292"/>
        <v>0</v>
      </c>
      <c r="V679" s="306">
        <f t="shared" ca="1" si="293"/>
        <v>1.2262480063131029</v>
      </c>
      <c r="W679" s="304">
        <f t="shared" ca="1" si="294"/>
        <v>57.954565259655311</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2.0200122484852514</v>
      </c>
      <c r="AH679" s="304">
        <f t="shared" ca="1" si="318"/>
        <v>-7.7479014702679603</v>
      </c>
    </row>
    <row r="680" spans="1:34" x14ac:dyDescent="0.2">
      <c r="A680" s="347">
        <f t="shared" ca="1" si="296"/>
        <v>1E-4</v>
      </c>
      <c r="B680" s="304">
        <f t="shared" ca="1" si="297"/>
        <v>34.714900000000718</v>
      </c>
      <c r="D680" s="306">
        <f t="shared" ca="1" si="298"/>
        <v>-0.71691398632935877</v>
      </c>
      <c r="E680" s="307">
        <f t="shared" ca="1" si="299"/>
        <v>-2.0953026734215063</v>
      </c>
      <c r="F680" s="304">
        <f t="shared" ca="1" si="300"/>
        <v>2.21455615350841</v>
      </c>
      <c r="G680" s="306">
        <f t="shared" ca="1" si="301"/>
        <v>11.293663303434952</v>
      </c>
      <c r="H680" s="307">
        <f t="shared" ca="1" si="302"/>
        <v>-121.53186999880957</v>
      </c>
      <c r="I680" s="304">
        <f t="shared" ca="1" si="303"/>
        <v>122.0554884313643</v>
      </c>
      <c r="J680" s="306">
        <f t="shared" ca="1" si="304"/>
        <v>786.02923903053897</v>
      </c>
      <c r="K680" s="307">
        <f t="shared" ca="1" si="305"/>
        <v>-10.194772886064021</v>
      </c>
      <c r="L680" s="304">
        <f t="shared" ca="1" si="290"/>
        <v>786.09534918171767</v>
      </c>
      <c r="M680" s="306">
        <f t="shared" ca="1" si="306"/>
        <v>-1.4781348564780867</v>
      </c>
      <c r="N680" s="304">
        <f t="shared" ca="1" si="307"/>
        <v>-84.690888827370046</v>
      </c>
      <c r="P680" s="310">
        <f t="shared" ca="1" si="308"/>
        <v>23</v>
      </c>
      <c r="Q680" s="304">
        <f t="shared" ca="1" si="309"/>
        <v>0</v>
      </c>
      <c r="R680" s="306">
        <f t="shared" ca="1" si="310"/>
        <v>0</v>
      </c>
      <c r="S680" s="307">
        <f t="shared" ca="1" si="311"/>
        <v>7.4799999999999969</v>
      </c>
      <c r="T680" s="304">
        <f t="shared" ca="1" si="291"/>
        <v>73.37879999999997</v>
      </c>
      <c r="U680" s="311">
        <f t="shared" ca="1" si="292"/>
        <v>0</v>
      </c>
      <c r="V680" s="306">
        <f t="shared" ca="1" si="293"/>
        <v>1.2262494965952435</v>
      </c>
      <c r="W680" s="304">
        <f t="shared" ca="1" si="294"/>
        <v>57.95482751943161</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2.0199778617834507</v>
      </c>
      <c r="AH680" s="304">
        <f t="shared" ca="1" si="318"/>
        <v>-7.7479365320394837</v>
      </c>
    </row>
    <row r="681" spans="1:34" x14ac:dyDescent="0.2">
      <c r="A681" s="347">
        <f t="shared" ca="1" si="296"/>
        <v>1E-4</v>
      </c>
      <c r="B681" s="304">
        <f t="shared" ca="1" si="297"/>
        <v>34.715000000000721</v>
      </c>
      <c r="D681" s="306">
        <f t="shared" ca="1" si="298"/>
        <v>-0.71691149317591796</v>
      </c>
      <c r="E681" s="307">
        <f t="shared" ca="1" si="299"/>
        <v>-2.0952672292073418</v>
      </c>
      <c r="F681" s="304">
        <f t="shared" ca="1" si="300"/>
        <v>2.2145218108742881</v>
      </c>
      <c r="G681" s="306">
        <f t="shared" ca="1" si="301"/>
        <v>11.293591612285635</v>
      </c>
      <c r="H681" s="307">
        <f t="shared" ca="1" si="302"/>
        <v>-121.5320795255325</v>
      </c>
      <c r="I681" s="304">
        <f t="shared" ca="1" si="303"/>
        <v>122.0556904257456</v>
      </c>
      <c r="J681" s="306">
        <f t="shared" ca="1" si="304"/>
        <v>786.02923903053897</v>
      </c>
      <c r="K681" s="307">
        <f t="shared" ca="1" si="305"/>
        <v>-10.206926083540237</v>
      </c>
      <c r="L681" s="304">
        <f t="shared" ca="1" si="290"/>
        <v>786.09550688895501</v>
      </c>
      <c r="M681" s="306">
        <f t="shared" ca="1" si="306"/>
        <v>-1.4781356001621908</v>
      </c>
      <c r="N681" s="304">
        <f t="shared" ca="1" si="307"/>
        <v>-84.690931437330491</v>
      </c>
      <c r="P681" s="310">
        <f t="shared" ca="1" si="308"/>
        <v>23</v>
      </c>
      <c r="Q681" s="304">
        <f t="shared" ca="1" si="309"/>
        <v>0</v>
      </c>
      <c r="R681" s="306">
        <f t="shared" ca="1" si="310"/>
        <v>0</v>
      </c>
      <c r="S681" s="307">
        <f t="shared" ca="1" si="311"/>
        <v>7.4799999999999969</v>
      </c>
      <c r="T681" s="304">
        <f t="shared" ca="1" si="291"/>
        <v>73.37879999999997</v>
      </c>
      <c r="U681" s="311">
        <f t="shared" ca="1" si="292"/>
        <v>0</v>
      </c>
      <c r="V681" s="306">
        <f t="shared" ca="1" si="293"/>
        <v>1.2262509868817655</v>
      </c>
      <c r="W681" s="304">
        <f t="shared" ca="1" si="294"/>
        <v>57.955089776933214</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2.019943475373835</v>
      </c>
      <c r="AH681" s="304">
        <f t="shared" ca="1" si="318"/>
        <v>-7.7479715935069029</v>
      </c>
    </row>
    <row r="682" spans="1:34" x14ac:dyDescent="0.2">
      <c r="A682" s="347">
        <f t="shared" ca="1" si="296"/>
        <v>1E-4</v>
      </c>
      <c r="B682" s="304">
        <f t="shared" ca="1" si="297"/>
        <v>34.715100000000724</v>
      </c>
      <c r="D682" s="306">
        <f t="shared" ca="1" si="298"/>
        <v>-0.71690899999742763</v>
      </c>
      <c r="E682" s="307">
        <f t="shared" ca="1" si="299"/>
        <v>-2.0952317853005669</v>
      </c>
      <c r="F682" s="304">
        <f t="shared" ca="1" si="300"/>
        <v>2.2144874685604146</v>
      </c>
      <c r="G682" s="306">
        <f t="shared" ca="1" si="301"/>
        <v>11.293519921385634</v>
      </c>
      <c r="H682" s="307">
        <f t="shared" ca="1" si="302"/>
        <v>-121.53228904871102</v>
      </c>
      <c r="I682" s="304">
        <f t="shared" ca="1" si="303"/>
        <v>122.05589241668825</v>
      </c>
      <c r="J682" s="306">
        <f t="shared" ca="1" si="304"/>
        <v>786.02923903053897</v>
      </c>
      <c r="K682" s="307">
        <f t="shared" ca="1" si="305"/>
        <v>-10.21907930196895</v>
      </c>
      <c r="L682" s="304">
        <f t="shared" ca="1" si="290"/>
        <v>786.09566478432396</v>
      </c>
      <c r="M682" s="306">
        <f t="shared" ca="1" si="306"/>
        <v>-1.4781363438391126</v>
      </c>
      <c r="N682" s="304">
        <f t="shared" ca="1" si="307"/>
        <v>-84.690974046879433</v>
      </c>
      <c r="P682" s="310">
        <f t="shared" ca="1" si="308"/>
        <v>23</v>
      </c>
      <c r="Q682" s="304">
        <f t="shared" ca="1" si="309"/>
        <v>0</v>
      </c>
      <c r="R682" s="306">
        <f t="shared" ca="1" si="310"/>
        <v>0</v>
      </c>
      <c r="S682" s="307">
        <f t="shared" ca="1" si="311"/>
        <v>7.4799999999999969</v>
      </c>
      <c r="T682" s="304">
        <f t="shared" ca="1" si="291"/>
        <v>73.37879999999997</v>
      </c>
      <c r="U682" s="311">
        <f t="shared" ca="1" si="292"/>
        <v>0</v>
      </c>
      <c r="V682" s="306">
        <f t="shared" ca="1" si="293"/>
        <v>1.2262524771726688</v>
      </c>
      <c r="W682" s="304">
        <f t="shared" ca="1" si="294"/>
        <v>57.955352032160079</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2.0199090892564016</v>
      </c>
      <c r="AH682" s="304">
        <f t="shared" ca="1" si="318"/>
        <v>-7.7480066546702187</v>
      </c>
    </row>
    <row r="683" spans="1:34" x14ac:dyDescent="0.2">
      <c r="A683" s="347">
        <f t="shared" ca="1" si="296"/>
        <v>1E-4</v>
      </c>
      <c r="B683" s="304">
        <f t="shared" ca="1" si="297"/>
        <v>34.715200000000728</v>
      </c>
      <c r="D683" s="306">
        <f t="shared" ca="1" si="298"/>
        <v>-0.7169065067938869</v>
      </c>
      <c r="E683" s="307">
        <f t="shared" ca="1" si="299"/>
        <v>-2.0951963417011878</v>
      </c>
      <c r="F683" s="304">
        <f t="shared" ca="1" si="300"/>
        <v>2.214453126566795</v>
      </c>
      <c r="G683" s="306">
        <f t="shared" ca="1" si="301"/>
        <v>11.293448230734954</v>
      </c>
      <c r="H683" s="307">
        <f t="shared" ca="1" si="302"/>
        <v>-121.53249856834519</v>
      </c>
      <c r="I683" s="304">
        <f t="shared" ca="1" si="303"/>
        <v>122.05609440419235</v>
      </c>
      <c r="J683" s="306">
        <f t="shared" ca="1" si="304"/>
        <v>786.02923903053897</v>
      </c>
      <c r="K683" s="307">
        <f t="shared" ca="1" si="305"/>
        <v>-10.231232541349803</v>
      </c>
      <c r="L683" s="304">
        <f t="shared" ca="1" si="290"/>
        <v>786.09582286782529</v>
      </c>
      <c r="M683" s="306">
        <f t="shared" ca="1" si="306"/>
        <v>-1.4781370875088522</v>
      </c>
      <c r="N683" s="304">
        <f t="shared" ca="1" si="307"/>
        <v>-84.69101665601687</v>
      </c>
      <c r="P683" s="310">
        <f t="shared" ca="1" si="308"/>
        <v>23</v>
      </c>
      <c r="Q683" s="304">
        <f t="shared" ca="1" si="309"/>
        <v>0</v>
      </c>
      <c r="R683" s="306">
        <f t="shared" ca="1" si="310"/>
        <v>0</v>
      </c>
      <c r="S683" s="307">
        <f t="shared" ca="1" si="311"/>
        <v>7.4799999999999969</v>
      </c>
      <c r="T683" s="304">
        <f t="shared" ca="1" si="291"/>
        <v>73.37879999999997</v>
      </c>
      <c r="U683" s="311">
        <f t="shared" ca="1" si="292"/>
        <v>0</v>
      </c>
      <c r="V683" s="306">
        <f t="shared" ca="1" si="293"/>
        <v>1.2262539674679538</v>
      </c>
      <c r="W683" s="304">
        <f t="shared" ca="1" si="294"/>
        <v>57.955614285112276</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2.0198747034311504</v>
      </c>
      <c r="AH683" s="304">
        <f t="shared" ca="1" si="318"/>
        <v>-7.7480417155294257</v>
      </c>
    </row>
    <row r="684" spans="1:34" x14ac:dyDescent="0.2">
      <c r="A684" s="347">
        <f t="shared" ca="1" si="296"/>
        <v>1E-4</v>
      </c>
      <c r="B684" s="304">
        <f t="shared" ca="1" si="297"/>
        <v>34.715300000000731</v>
      </c>
      <c r="D684" s="306">
        <f t="shared" ca="1" si="298"/>
        <v>-0.71690401356529787</v>
      </c>
      <c r="E684" s="307">
        <f t="shared" ca="1" si="299"/>
        <v>-2.0951608984091941</v>
      </c>
      <c r="F684" s="304">
        <f t="shared" ca="1" si="300"/>
        <v>2.2144187848934207</v>
      </c>
      <c r="G684" s="306">
        <f t="shared" ca="1" si="301"/>
        <v>11.293376540333599</v>
      </c>
      <c r="H684" s="307">
        <f t="shared" ca="1" si="302"/>
        <v>-121.53270808443503</v>
      </c>
      <c r="I684" s="304">
        <f t="shared" ca="1" si="303"/>
        <v>122.05629638825789</v>
      </c>
      <c r="J684" s="306">
        <f t="shared" ca="1" si="304"/>
        <v>786.02923903053897</v>
      </c>
      <c r="K684" s="307">
        <f t="shared" ca="1" si="305"/>
        <v>-10.243385801682441</v>
      </c>
      <c r="L684" s="304">
        <f t="shared" ca="1" si="290"/>
        <v>786.09598113946004</v>
      </c>
      <c r="M684" s="306">
        <f t="shared" ca="1" si="306"/>
        <v>-1.4781378311714095</v>
      </c>
      <c r="N684" s="304">
        <f t="shared" ca="1" si="307"/>
        <v>-84.691059264742776</v>
      </c>
      <c r="P684" s="310">
        <f t="shared" ca="1" si="308"/>
        <v>23</v>
      </c>
      <c r="Q684" s="304">
        <f t="shared" ca="1" si="309"/>
        <v>0</v>
      </c>
      <c r="R684" s="306">
        <f t="shared" ca="1" si="310"/>
        <v>0</v>
      </c>
      <c r="S684" s="307">
        <f t="shared" ca="1" si="311"/>
        <v>7.4799999999999969</v>
      </c>
      <c r="T684" s="304">
        <f t="shared" ca="1" si="291"/>
        <v>73.37879999999997</v>
      </c>
      <c r="U684" s="311">
        <f t="shared" ca="1" si="292"/>
        <v>0</v>
      </c>
      <c r="V684" s="306">
        <f t="shared" ca="1" si="293"/>
        <v>1.2262554577676195</v>
      </c>
      <c r="W684" s="304">
        <f t="shared" ca="1" si="294"/>
        <v>57.955876535789749</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2.0198403178980842</v>
      </c>
      <c r="AH684" s="304">
        <f t="shared" ca="1" si="318"/>
        <v>-7.7480767760845319</v>
      </c>
    </row>
    <row r="685" spans="1:34" x14ac:dyDescent="0.2">
      <c r="A685" s="347">
        <f t="shared" ca="1" si="296"/>
        <v>1E-4</v>
      </c>
      <c r="B685" s="304">
        <f t="shared" ca="1" si="297"/>
        <v>34.715400000000734</v>
      </c>
      <c r="D685" s="306">
        <f t="shared" ca="1" si="298"/>
        <v>-0.71690152031166166</v>
      </c>
      <c r="E685" s="307">
        <f t="shared" ca="1" si="299"/>
        <v>-2.0951254554245935</v>
      </c>
      <c r="F685" s="304">
        <f t="shared" ca="1" si="300"/>
        <v>2.2143844435402995</v>
      </c>
      <c r="G685" s="306">
        <f t="shared" ca="1" si="301"/>
        <v>11.293304850181567</v>
      </c>
      <c r="H685" s="307">
        <f t="shared" ca="1" si="302"/>
        <v>-121.53291759698057</v>
      </c>
      <c r="I685" s="304">
        <f t="shared" ca="1" si="303"/>
        <v>122.0564983688849</v>
      </c>
      <c r="J685" s="306">
        <f t="shared" ca="1" si="304"/>
        <v>786.02923903053897</v>
      </c>
      <c r="K685" s="307">
        <f t="shared" ca="1" si="305"/>
        <v>-10.255539082966513</v>
      </c>
      <c r="L685" s="304">
        <f t="shared" ca="1" si="290"/>
        <v>786.09613959922888</v>
      </c>
      <c r="M685" s="306">
        <f t="shared" ca="1" si="306"/>
        <v>-1.478138574826785</v>
      </c>
      <c r="N685" s="304">
        <f t="shared" ca="1" si="307"/>
        <v>-84.691101873057207</v>
      </c>
      <c r="P685" s="310">
        <f t="shared" ca="1" si="308"/>
        <v>23</v>
      </c>
      <c r="Q685" s="304">
        <f t="shared" ca="1" si="309"/>
        <v>0</v>
      </c>
      <c r="R685" s="306">
        <f t="shared" ca="1" si="310"/>
        <v>0</v>
      </c>
      <c r="S685" s="307">
        <f t="shared" ca="1" si="311"/>
        <v>7.4799999999999969</v>
      </c>
      <c r="T685" s="304">
        <f t="shared" ca="1" si="291"/>
        <v>73.37879999999997</v>
      </c>
      <c r="U685" s="311">
        <f t="shared" ca="1" si="292"/>
        <v>0</v>
      </c>
      <c r="V685" s="306">
        <f t="shared" ca="1" si="293"/>
        <v>1.2262569480716672</v>
      </c>
      <c r="W685" s="304">
        <f t="shared" ca="1" si="294"/>
        <v>57.956138784192554</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2.0198059326572002</v>
      </c>
      <c r="AH685" s="304">
        <f t="shared" ca="1" si="318"/>
        <v>-7.7481118363355312</v>
      </c>
    </row>
    <row r="686" spans="1:34" x14ac:dyDescent="0.2">
      <c r="A686" s="347">
        <f t="shared" ca="1" si="296"/>
        <v>1E-4</v>
      </c>
      <c r="B686" s="304">
        <f t="shared" ca="1" si="297"/>
        <v>34.715500000000738</v>
      </c>
      <c r="D686" s="306">
        <f t="shared" ca="1" si="298"/>
        <v>-0.71689902703297659</v>
      </c>
      <c r="E686" s="307">
        <f t="shared" ca="1" si="299"/>
        <v>-2.0950900127473799</v>
      </c>
      <c r="F686" s="304">
        <f t="shared" ca="1" si="300"/>
        <v>2.2143501025074253</v>
      </c>
      <c r="G686" s="306">
        <f t="shared" ca="1" si="301"/>
        <v>11.293233160278863</v>
      </c>
      <c r="H686" s="307">
        <f t="shared" ca="1" si="302"/>
        <v>-121.53312710598185</v>
      </c>
      <c r="I686" s="304">
        <f t="shared" ca="1" si="303"/>
        <v>122.05670034607343</v>
      </c>
      <c r="J686" s="306">
        <f t="shared" ca="1" si="304"/>
        <v>786.02923903053897</v>
      </c>
      <c r="K686" s="307">
        <f t="shared" ca="1" si="305"/>
        <v>-10.267692385201661</v>
      </c>
      <c r="L686" s="304">
        <f t="shared" ca="1" si="290"/>
        <v>786.09629824713295</v>
      </c>
      <c r="M686" s="306">
        <f t="shared" ca="1" si="306"/>
        <v>-1.4781393184749787</v>
      </c>
      <c r="N686" s="304">
        <f t="shared" ca="1" si="307"/>
        <v>-84.691144480960148</v>
      </c>
      <c r="P686" s="310">
        <f t="shared" ca="1" si="308"/>
        <v>23</v>
      </c>
      <c r="Q686" s="304">
        <f t="shared" ca="1" si="309"/>
        <v>0</v>
      </c>
      <c r="R686" s="306">
        <f t="shared" ca="1" si="310"/>
        <v>0</v>
      </c>
      <c r="S686" s="307">
        <f t="shared" ca="1" si="311"/>
        <v>7.4799999999999969</v>
      </c>
      <c r="T686" s="304">
        <f t="shared" ca="1" si="291"/>
        <v>73.37879999999997</v>
      </c>
      <c r="U686" s="311">
        <f t="shared" ca="1" si="292"/>
        <v>0</v>
      </c>
      <c r="V686" s="306">
        <f t="shared" ca="1" si="293"/>
        <v>1.2262584383800958</v>
      </c>
      <c r="W686" s="304">
        <f t="shared" ca="1" si="294"/>
        <v>57.956401030320649</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2.0197715477084959</v>
      </c>
      <c r="AH686" s="304">
        <f t="shared" ca="1" si="318"/>
        <v>-7.7481468962824298</v>
      </c>
    </row>
    <row r="687" spans="1:34" x14ac:dyDescent="0.2">
      <c r="A687" s="347">
        <f t="shared" ca="1" si="296"/>
        <v>1E-4</v>
      </c>
      <c r="B687" s="304">
        <f t="shared" ca="1" si="297"/>
        <v>34.715600000000741</v>
      </c>
      <c r="D687" s="306">
        <f t="shared" ca="1" si="298"/>
        <v>-0.716896533729244</v>
      </c>
      <c r="E687" s="307">
        <f t="shared" ca="1" si="299"/>
        <v>-2.0950545703775569</v>
      </c>
      <c r="F687" s="304">
        <f t="shared" ca="1" si="300"/>
        <v>2.2143157617948019</v>
      </c>
      <c r="G687" s="306">
        <f t="shared" ca="1" si="301"/>
        <v>11.29316147062549</v>
      </c>
      <c r="H687" s="307">
        <f t="shared" ca="1" si="302"/>
        <v>-121.53333661143888</v>
      </c>
      <c r="I687" s="304">
        <f t="shared" ca="1" si="303"/>
        <v>122.05690231982348</v>
      </c>
      <c r="J687" s="306">
        <f t="shared" ca="1" si="304"/>
        <v>786.02923903053897</v>
      </c>
      <c r="K687" s="307">
        <f t="shared" ca="1" si="305"/>
        <v>-10.279845708387532</v>
      </c>
      <c r="L687" s="304">
        <f t="shared" ca="1" si="290"/>
        <v>786.09645708317271</v>
      </c>
      <c r="M687" s="306">
        <f t="shared" ca="1" si="306"/>
        <v>-1.4781400621159906</v>
      </c>
      <c r="N687" s="304">
        <f t="shared" ca="1" si="307"/>
        <v>-84.691187088451599</v>
      </c>
      <c r="P687" s="310">
        <f t="shared" ca="1" si="308"/>
        <v>23</v>
      </c>
      <c r="Q687" s="304">
        <f t="shared" ca="1" si="309"/>
        <v>0</v>
      </c>
      <c r="R687" s="306">
        <f t="shared" ca="1" si="310"/>
        <v>0</v>
      </c>
      <c r="S687" s="307">
        <f t="shared" ca="1" si="311"/>
        <v>7.4799999999999969</v>
      </c>
      <c r="T687" s="304">
        <f t="shared" ca="1" si="291"/>
        <v>73.37879999999997</v>
      </c>
      <c r="U687" s="311">
        <f t="shared" ca="1" si="292"/>
        <v>0</v>
      </c>
      <c r="V687" s="306">
        <f t="shared" ca="1" si="293"/>
        <v>1.2262599286929059</v>
      </c>
      <c r="W687" s="304">
        <f t="shared" ca="1" si="294"/>
        <v>57.956663274174048</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2.01973716305198</v>
      </c>
      <c r="AH687" s="304">
        <f t="shared" ca="1" si="318"/>
        <v>-7.7481819559252241</v>
      </c>
    </row>
    <row r="688" spans="1:34" x14ac:dyDescent="0.2">
      <c r="A688" s="347">
        <f t="shared" ca="1" si="296"/>
        <v>1E-4</v>
      </c>
      <c r="B688" s="304">
        <f t="shared" ca="1" si="297"/>
        <v>34.715700000000744</v>
      </c>
      <c r="D688" s="306">
        <f t="shared" ca="1" si="298"/>
        <v>-0.71689404040046512</v>
      </c>
      <c r="E688" s="307">
        <f t="shared" ca="1" si="299"/>
        <v>-2.0950191283151254</v>
      </c>
      <c r="F688" s="304">
        <f t="shared" ca="1" si="300"/>
        <v>2.2142814214024313</v>
      </c>
      <c r="G688" s="306">
        <f t="shared" ca="1" si="301"/>
        <v>11.29308978122145</v>
      </c>
      <c r="H688" s="307">
        <f t="shared" ca="1" si="302"/>
        <v>-121.53354611335172</v>
      </c>
      <c r="I688" s="304">
        <f t="shared" ca="1" si="303"/>
        <v>122.0571042901351</v>
      </c>
      <c r="J688" s="306">
        <f t="shared" ca="1" si="304"/>
        <v>786.02923903053897</v>
      </c>
      <c r="K688" s="307">
        <f t="shared" ca="1" si="305"/>
        <v>-10.291999052523771</v>
      </c>
      <c r="L688" s="304">
        <f t="shared" ca="1" si="290"/>
        <v>786.09661610734929</v>
      </c>
      <c r="M688" s="306">
        <f t="shared" ca="1" si="306"/>
        <v>-1.4781408057498207</v>
      </c>
      <c r="N688" s="304">
        <f t="shared" ca="1" si="307"/>
        <v>-84.691229695531575</v>
      </c>
      <c r="P688" s="310">
        <f t="shared" ca="1" si="308"/>
        <v>23</v>
      </c>
      <c r="Q688" s="304">
        <f t="shared" ca="1" si="309"/>
        <v>0</v>
      </c>
      <c r="R688" s="306">
        <f t="shared" ca="1" si="310"/>
        <v>0</v>
      </c>
      <c r="S688" s="307">
        <f t="shared" ca="1" si="311"/>
        <v>7.4799999999999969</v>
      </c>
      <c r="T688" s="304">
        <f t="shared" ca="1" si="291"/>
        <v>73.37879999999997</v>
      </c>
      <c r="U688" s="311">
        <f t="shared" ca="1" si="292"/>
        <v>0</v>
      </c>
      <c r="V688" s="306">
        <f t="shared" ca="1" si="293"/>
        <v>1.2262614190100971</v>
      </c>
      <c r="W688" s="304">
        <f t="shared" ca="1" si="294"/>
        <v>57.956925515752765</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2.0197027786876429</v>
      </c>
      <c r="AH688" s="304">
        <f t="shared" ca="1" si="318"/>
        <v>-7.7482170152639132</v>
      </c>
    </row>
    <row r="689" spans="1:34" x14ac:dyDescent="0.2">
      <c r="A689" s="347">
        <f t="shared" ca="1" si="296"/>
        <v>1E-4</v>
      </c>
      <c r="B689" s="304">
        <f t="shared" ca="1" si="297"/>
        <v>34.715800000000748</v>
      </c>
      <c r="D689" s="306">
        <f t="shared" ca="1" si="298"/>
        <v>-0.71689154704664182</v>
      </c>
      <c r="E689" s="307">
        <f t="shared" ca="1" si="299"/>
        <v>-2.0949836865600799</v>
      </c>
      <c r="F689" s="304">
        <f t="shared" ca="1" si="300"/>
        <v>2.2142470813303086</v>
      </c>
      <c r="G689" s="306">
        <f t="shared" ca="1" si="301"/>
        <v>11.293018092066745</v>
      </c>
      <c r="H689" s="307">
        <f t="shared" ca="1" si="302"/>
        <v>-121.53375561172038</v>
      </c>
      <c r="I689" s="304">
        <f t="shared" ca="1" si="303"/>
        <v>122.05730625700832</v>
      </c>
      <c r="J689" s="306">
        <f t="shared" ca="1" si="304"/>
        <v>786.02923903053897</v>
      </c>
      <c r="K689" s="307">
        <f t="shared" ca="1" si="305"/>
        <v>-10.304152417610025</v>
      </c>
      <c r="L689" s="304">
        <f t="shared" ca="1" si="290"/>
        <v>786.09677531966349</v>
      </c>
      <c r="M689" s="306">
        <f t="shared" ca="1" si="306"/>
        <v>-1.4781415493764691</v>
      </c>
      <c r="N689" s="304">
        <f t="shared" ca="1" si="307"/>
        <v>-84.691272302200062</v>
      </c>
      <c r="P689" s="310">
        <f t="shared" ca="1" si="308"/>
        <v>23</v>
      </c>
      <c r="Q689" s="304">
        <f t="shared" ca="1" si="309"/>
        <v>0</v>
      </c>
      <c r="R689" s="306">
        <f t="shared" ca="1" si="310"/>
        <v>0</v>
      </c>
      <c r="S689" s="307">
        <f t="shared" ca="1" si="311"/>
        <v>7.4799999999999969</v>
      </c>
      <c r="T689" s="304">
        <f t="shared" ca="1" si="291"/>
        <v>73.37879999999997</v>
      </c>
      <c r="U689" s="311">
        <f t="shared" ca="1" si="292"/>
        <v>0</v>
      </c>
      <c r="V689" s="306">
        <f t="shared" ca="1" si="293"/>
        <v>1.2262629093316697</v>
      </c>
      <c r="W689" s="304">
        <f t="shared" ca="1" si="294"/>
        <v>57.957187755056793</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2.0196683946154907</v>
      </c>
      <c r="AH689" s="304">
        <f t="shared" ca="1" si="318"/>
        <v>-7.7482520742985015</v>
      </c>
    </row>
    <row r="690" spans="1:34" x14ac:dyDescent="0.2">
      <c r="A690" s="347">
        <f t="shared" ca="1" si="296"/>
        <v>1E-4</v>
      </c>
      <c r="B690" s="304">
        <f t="shared" ca="1" si="297"/>
        <v>34.715900000000751</v>
      </c>
      <c r="D690" s="306">
        <f t="shared" ca="1" si="298"/>
        <v>-0.71688905366777356</v>
      </c>
      <c r="E690" s="307">
        <f t="shared" ca="1" si="299"/>
        <v>-2.0949482451124242</v>
      </c>
      <c r="F690" s="304">
        <f t="shared" ca="1" si="300"/>
        <v>2.2142127415784381</v>
      </c>
      <c r="G690" s="306">
        <f t="shared" ca="1" si="301"/>
        <v>11.292946403161379</v>
      </c>
      <c r="H690" s="307">
        <f t="shared" ca="1" si="302"/>
        <v>-121.5339651065449</v>
      </c>
      <c r="I690" s="304">
        <f t="shared" ca="1" si="303"/>
        <v>122.05750822044315</v>
      </c>
      <c r="J690" s="306">
        <f t="shared" ca="1" si="304"/>
        <v>786.02923903053897</v>
      </c>
      <c r="K690" s="307">
        <f t="shared" ca="1" si="305"/>
        <v>-10.316305803645939</v>
      </c>
      <c r="L690" s="304">
        <f t="shared" ca="1" si="290"/>
        <v>786.09693472011611</v>
      </c>
      <c r="M690" s="306">
        <f t="shared" ca="1" si="306"/>
        <v>-1.4781422929959362</v>
      </c>
      <c r="N690" s="304">
        <f t="shared" ca="1" si="307"/>
        <v>-84.691314908457088</v>
      </c>
      <c r="P690" s="310">
        <f t="shared" ca="1" si="308"/>
        <v>23</v>
      </c>
      <c r="Q690" s="304">
        <f t="shared" ca="1" si="309"/>
        <v>0</v>
      </c>
      <c r="R690" s="306">
        <f t="shared" ca="1" si="310"/>
        <v>0</v>
      </c>
      <c r="S690" s="307">
        <f t="shared" ca="1" si="311"/>
        <v>7.4799999999999969</v>
      </c>
      <c r="T690" s="304">
        <f t="shared" ca="1" si="291"/>
        <v>73.37879999999997</v>
      </c>
      <c r="U690" s="311">
        <f t="shared" ca="1" si="292"/>
        <v>0</v>
      </c>
      <c r="V690" s="306">
        <f t="shared" ca="1" si="293"/>
        <v>1.2262643996576228</v>
      </c>
      <c r="W690" s="304">
        <f t="shared" ca="1" si="294"/>
        <v>57.957449992086097</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2.0196340108355173</v>
      </c>
      <c r="AH690" s="304">
        <f t="shared" ca="1" si="318"/>
        <v>-7.7482871330289864</v>
      </c>
    </row>
    <row r="691" spans="1:34" x14ac:dyDescent="0.2">
      <c r="A691" s="347">
        <f t="shared" ca="1" si="296"/>
        <v>1E-4</v>
      </c>
      <c r="B691" s="304">
        <f t="shared" ca="1" si="297"/>
        <v>34.716000000000754</v>
      </c>
      <c r="D691" s="306">
        <f t="shared" ca="1" si="298"/>
        <v>-0.71688656026385955</v>
      </c>
      <c r="E691" s="307">
        <f t="shared" ca="1" si="299"/>
        <v>-2.0949128039721616</v>
      </c>
      <c r="F691" s="304">
        <f t="shared" ca="1" si="300"/>
        <v>2.214178402146822</v>
      </c>
      <c r="G691" s="306">
        <f t="shared" ca="1" si="301"/>
        <v>11.292874714505352</v>
      </c>
      <c r="H691" s="307">
        <f t="shared" ca="1" si="302"/>
        <v>-121.5341745978253</v>
      </c>
      <c r="I691" s="304">
        <f t="shared" ca="1" si="303"/>
        <v>122.05771018043964</v>
      </c>
      <c r="J691" s="306">
        <f t="shared" ca="1" si="304"/>
        <v>786.02923903053897</v>
      </c>
      <c r="K691" s="307">
        <f t="shared" ca="1" si="305"/>
        <v>-10.328459210631157</v>
      </c>
      <c r="L691" s="304">
        <f t="shared" ca="1" si="290"/>
        <v>786.09709430870805</v>
      </c>
      <c r="M691" s="306">
        <f t="shared" ca="1" si="306"/>
        <v>-1.4781430366082218</v>
      </c>
      <c r="N691" s="304">
        <f t="shared" ca="1" si="307"/>
        <v>-84.691357514302652</v>
      </c>
      <c r="P691" s="310">
        <f t="shared" ca="1" si="308"/>
        <v>23</v>
      </c>
      <c r="Q691" s="304">
        <f t="shared" ca="1" si="309"/>
        <v>0</v>
      </c>
      <c r="R691" s="306">
        <f t="shared" ca="1" si="310"/>
        <v>0</v>
      </c>
      <c r="S691" s="307">
        <f t="shared" ca="1" si="311"/>
        <v>7.4799999999999969</v>
      </c>
      <c r="T691" s="304">
        <f t="shared" ca="1" si="291"/>
        <v>73.37879999999997</v>
      </c>
      <c r="U691" s="311">
        <f t="shared" ca="1" si="292"/>
        <v>0</v>
      </c>
      <c r="V691" s="306">
        <f t="shared" ca="1" si="293"/>
        <v>1.2262658899879577</v>
      </c>
      <c r="W691" s="304">
        <f t="shared" ca="1" si="294"/>
        <v>57.957712226840762</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2.0195996273477377</v>
      </c>
      <c r="AH691" s="304">
        <f t="shared" ca="1" si="318"/>
        <v>-7.7483221914553635</v>
      </c>
    </row>
    <row r="692" spans="1:34" x14ac:dyDescent="0.2">
      <c r="A692" s="347">
        <f t="shared" ca="1" si="296"/>
        <v>1E-4</v>
      </c>
      <c r="B692" s="304">
        <f t="shared" ca="1" si="297"/>
        <v>34.716100000000758</v>
      </c>
      <c r="D692" s="306">
        <f t="shared" ca="1" si="298"/>
        <v>-0.71688406683490435</v>
      </c>
      <c r="E692" s="307">
        <f t="shared" ca="1" si="299"/>
        <v>-2.0948773631392816</v>
      </c>
      <c r="F692" s="304">
        <f t="shared" ca="1" si="300"/>
        <v>2.2141440630354525</v>
      </c>
      <c r="G692" s="306">
        <f t="shared" ca="1" si="301"/>
        <v>11.292803026098669</v>
      </c>
      <c r="H692" s="307">
        <f t="shared" ca="1" si="302"/>
        <v>-121.53438408556161</v>
      </c>
      <c r="I692" s="304">
        <f t="shared" ca="1" si="303"/>
        <v>122.0579121369978</v>
      </c>
      <c r="J692" s="306">
        <f t="shared" ca="1" si="304"/>
        <v>786.02923903053897</v>
      </c>
      <c r="K692" s="307">
        <f t="shared" ca="1" si="305"/>
        <v>-10.340612638565327</v>
      </c>
      <c r="L692" s="304">
        <f t="shared" ca="1" si="290"/>
        <v>786.09725408544023</v>
      </c>
      <c r="M692" s="306">
        <f t="shared" ca="1" si="306"/>
        <v>-1.4781437802133262</v>
      </c>
      <c r="N692" s="304">
        <f t="shared" ca="1" si="307"/>
        <v>-84.691400119736755</v>
      </c>
      <c r="P692" s="310">
        <f t="shared" ca="1" si="308"/>
        <v>23</v>
      </c>
      <c r="Q692" s="304">
        <f t="shared" ca="1" si="309"/>
        <v>0</v>
      </c>
      <c r="R692" s="306">
        <f t="shared" ca="1" si="310"/>
        <v>0</v>
      </c>
      <c r="S692" s="307">
        <f t="shared" ca="1" si="311"/>
        <v>7.4799999999999969</v>
      </c>
      <c r="T692" s="304">
        <f t="shared" ca="1" si="291"/>
        <v>73.37879999999997</v>
      </c>
      <c r="U692" s="311">
        <f t="shared" ca="1" si="292"/>
        <v>0</v>
      </c>
      <c r="V692" s="306">
        <f t="shared" ca="1" si="293"/>
        <v>1.2262673803226736</v>
      </c>
      <c r="W692" s="304">
        <f t="shared" ca="1" si="294"/>
        <v>57.957974459320717</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2.0195652441521306</v>
      </c>
      <c r="AH692" s="304">
        <f t="shared" ca="1" si="318"/>
        <v>-7.7483572495776452</v>
      </c>
    </row>
    <row r="693" spans="1:34" x14ac:dyDescent="0.2">
      <c r="A693" s="347">
        <f t="shared" ca="1" si="296"/>
        <v>1E-4</v>
      </c>
      <c r="B693" s="304">
        <f t="shared" ca="1" si="297"/>
        <v>34.716200000000761</v>
      </c>
      <c r="D693" s="306">
        <f t="shared" ca="1" si="298"/>
        <v>-0.71688157338090475</v>
      </c>
      <c r="E693" s="307">
        <f t="shared" ca="1" si="299"/>
        <v>-2.0948419226137922</v>
      </c>
      <c r="F693" s="304">
        <f t="shared" ca="1" si="300"/>
        <v>2.2141097242443362</v>
      </c>
      <c r="G693" s="306">
        <f t="shared" ca="1" si="301"/>
        <v>11.292731337941332</v>
      </c>
      <c r="H693" s="307">
        <f t="shared" ca="1" si="302"/>
        <v>-121.53459356975388</v>
      </c>
      <c r="I693" s="304">
        <f t="shared" ca="1" si="303"/>
        <v>122.05811409011768</v>
      </c>
      <c r="J693" s="306">
        <f t="shared" ca="1" si="304"/>
        <v>786.02923903053897</v>
      </c>
      <c r="K693" s="307">
        <f t="shared" ca="1" si="305"/>
        <v>-10.352766087448092</v>
      </c>
      <c r="L693" s="304">
        <f t="shared" ca="1" si="290"/>
        <v>786.0974140503132</v>
      </c>
      <c r="M693" s="306">
        <f t="shared" ca="1" si="306"/>
        <v>-1.4781445238112494</v>
      </c>
      <c r="N693" s="304">
        <f t="shared" ca="1" si="307"/>
        <v>-84.691442724759412</v>
      </c>
      <c r="P693" s="310">
        <f t="shared" ca="1" si="308"/>
        <v>23</v>
      </c>
      <c r="Q693" s="304">
        <f t="shared" ca="1" si="309"/>
        <v>0</v>
      </c>
      <c r="R693" s="306">
        <f t="shared" ca="1" si="310"/>
        <v>0</v>
      </c>
      <c r="S693" s="307">
        <f t="shared" ca="1" si="311"/>
        <v>7.4799999999999969</v>
      </c>
      <c r="T693" s="304">
        <f t="shared" ca="1" si="291"/>
        <v>73.37879999999997</v>
      </c>
      <c r="U693" s="311">
        <f t="shared" ca="1" si="292"/>
        <v>0</v>
      </c>
      <c r="V693" s="306">
        <f t="shared" ca="1" si="293"/>
        <v>1.2262688706617704</v>
      </c>
      <c r="W693" s="304">
        <f t="shared" ca="1" si="294"/>
        <v>57.95823668952599</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2.019530861248712</v>
      </c>
      <c r="AH693" s="304">
        <f t="shared" ca="1" si="318"/>
        <v>-7.7483923073958207</v>
      </c>
    </row>
    <row r="694" spans="1:34" x14ac:dyDescent="0.2">
      <c r="A694" s="347">
        <f t="shared" ca="1" si="296"/>
        <v>1E-4</v>
      </c>
      <c r="B694" s="304">
        <f t="shared" ca="1" si="297"/>
        <v>34.716300000000764</v>
      </c>
      <c r="D694" s="306">
        <f t="shared" ca="1" si="298"/>
        <v>-0.71687907990186273</v>
      </c>
      <c r="E694" s="307">
        <f t="shared" ca="1" si="299"/>
        <v>-2.0948064823956916</v>
      </c>
      <c r="F694" s="304">
        <f t="shared" ca="1" si="300"/>
        <v>2.2140753857734725</v>
      </c>
      <c r="G694" s="306">
        <f t="shared" ca="1" si="301"/>
        <v>11.292659650033341</v>
      </c>
      <c r="H694" s="307">
        <f t="shared" ca="1" si="302"/>
        <v>-121.53480305040212</v>
      </c>
      <c r="I694" s="304">
        <f t="shared" ca="1" si="303"/>
        <v>122.05831603979928</v>
      </c>
      <c r="J694" s="306">
        <f t="shared" ca="1" si="304"/>
        <v>786.02923903053897</v>
      </c>
      <c r="K694" s="307">
        <f t="shared" ca="1" si="305"/>
        <v>-10.3649195572791</v>
      </c>
      <c r="L694" s="304">
        <f t="shared" ca="1" si="290"/>
        <v>786.09757420332824</v>
      </c>
      <c r="M694" s="306">
        <f t="shared" ca="1" si="306"/>
        <v>-1.4781452674019915</v>
      </c>
      <c r="N694" s="304">
        <f t="shared" ca="1" si="307"/>
        <v>-84.691485329370622</v>
      </c>
      <c r="P694" s="310">
        <f t="shared" ca="1" si="308"/>
        <v>23</v>
      </c>
      <c r="Q694" s="304">
        <f t="shared" ca="1" si="309"/>
        <v>0</v>
      </c>
      <c r="R694" s="306">
        <f t="shared" ca="1" si="310"/>
        <v>0</v>
      </c>
      <c r="S694" s="307">
        <f t="shared" ca="1" si="311"/>
        <v>7.4799999999999969</v>
      </c>
      <c r="T694" s="304">
        <f t="shared" ca="1" si="291"/>
        <v>73.37879999999997</v>
      </c>
      <c r="U694" s="311">
        <f t="shared" ca="1" si="292"/>
        <v>0</v>
      </c>
      <c r="V694" s="306">
        <f t="shared" ca="1" si="293"/>
        <v>1.2262703610052483</v>
      </c>
      <c r="W694" s="304">
        <f t="shared" ca="1" si="294"/>
        <v>57.958498917456552</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2.0194964786374756</v>
      </c>
      <c r="AH694" s="304">
        <f t="shared" ca="1" si="318"/>
        <v>-7.7484273649098947</v>
      </c>
    </row>
    <row r="695" spans="1:34" x14ac:dyDescent="0.2">
      <c r="A695" s="347">
        <f t="shared" ca="1" si="296"/>
        <v>1E-4</v>
      </c>
      <c r="B695" s="304">
        <f t="shared" ca="1" si="297"/>
        <v>34.716400000000768</v>
      </c>
      <c r="D695" s="306">
        <f t="shared" ca="1" si="298"/>
        <v>-0.7168765863977794</v>
      </c>
      <c r="E695" s="307">
        <f t="shared" ca="1" si="299"/>
        <v>-2.0947710424849815</v>
      </c>
      <c r="F695" s="304">
        <f t="shared" ca="1" si="300"/>
        <v>2.2140410476228638</v>
      </c>
      <c r="G695" s="306">
        <f t="shared" ca="1" si="301"/>
        <v>11.292587962374702</v>
      </c>
      <c r="H695" s="307">
        <f t="shared" ca="1" si="302"/>
        <v>-121.53501252750637</v>
      </c>
      <c r="I695" s="304">
        <f t="shared" ca="1" si="303"/>
        <v>122.05851798604266</v>
      </c>
      <c r="J695" s="306">
        <f t="shared" ca="1" si="304"/>
        <v>786.02923903053897</v>
      </c>
      <c r="K695" s="307">
        <f t="shared" ca="1" si="305"/>
        <v>-10.377073048057996</v>
      </c>
      <c r="L695" s="304">
        <f t="shared" ca="1" si="290"/>
        <v>786.09773454448577</v>
      </c>
      <c r="M695" s="306">
        <f t="shared" ca="1" si="306"/>
        <v>-1.4781460109855526</v>
      </c>
      <c r="N695" s="304">
        <f t="shared" ca="1" si="307"/>
        <v>-84.691527933570384</v>
      </c>
      <c r="P695" s="310">
        <f t="shared" ca="1" si="308"/>
        <v>23</v>
      </c>
      <c r="Q695" s="304">
        <f t="shared" ca="1" si="309"/>
        <v>0</v>
      </c>
      <c r="R695" s="306">
        <f t="shared" ca="1" si="310"/>
        <v>0</v>
      </c>
      <c r="S695" s="307">
        <f t="shared" ca="1" si="311"/>
        <v>7.4799999999999969</v>
      </c>
      <c r="T695" s="304">
        <f t="shared" ca="1" si="291"/>
        <v>73.37879999999997</v>
      </c>
      <c r="U695" s="311">
        <f t="shared" ca="1" si="292"/>
        <v>0</v>
      </c>
      <c r="V695" s="306">
        <f t="shared" ca="1" si="293"/>
        <v>1.226271851353107</v>
      </c>
      <c r="W695" s="304">
        <f t="shared" ca="1" si="294"/>
        <v>57.95876114311244</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2.0194620963184233</v>
      </c>
      <c r="AH695" s="304">
        <f t="shared" ca="1" si="318"/>
        <v>-7.7484624221198635</v>
      </c>
    </row>
    <row r="696" spans="1:34" x14ac:dyDescent="0.2">
      <c r="A696" s="347">
        <f t="shared" ca="1" si="296"/>
        <v>1E-4</v>
      </c>
      <c r="B696" s="304">
        <f t="shared" ca="1" si="297"/>
        <v>34.716500000000771</v>
      </c>
      <c r="D696" s="306">
        <f t="shared" ca="1" si="298"/>
        <v>-0.71687409286865478</v>
      </c>
      <c r="E696" s="307">
        <f t="shared" ca="1" si="299"/>
        <v>-2.0947356028816593</v>
      </c>
      <c r="F696" s="304">
        <f t="shared" ca="1" si="300"/>
        <v>2.2140067097925074</v>
      </c>
      <c r="G696" s="306">
        <f t="shared" ca="1" si="301"/>
        <v>11.292516274965415</v>
      </c>
      <c r="H696" s="307">
        <f t="shared" ca="1" si="302"/>
        <v>-121.53522200106666</v>
      </c>
      <c r="I696" s="304">
        <f t="shared" ca="1" si="303"/>
        <v>122.05871992884784</v>
      </c>
      <c r="J696" s="306">
        <f t="shared" ca="1" si="304"/>
        <v>786.02923903053897</v>
      </c>
      <c r="K696" s="307">
        <f t="shared" ca="1" si="305"/>
        <v>-10.389226559784424</v>
      </c>
      <c r="L696" s="304">
        <f t="shared" ca="1" si="290"/>
        <v>786.09789507378707</v>
      </c>
      <c r="M696" s="306">
        <f t="shared" ca="1" si="306"/>
        <v>-1.4781467545619329</v>
      </c>
      <c r="N696" s="304">
        <f t="shared" ca="1" si="307"/>
        <v>-84.691570537358714</v>
      </c>
      <c r="P696" s="310">
        <f t="shared" ca="1" si="308"/>
        <v>23</v>
      </c>
      <c r="Q696" s="304">
        <f t="shared" ca="1" si="309"/>
        <v>0</v>
      </c>
      <c r="R696" s="306">
        <f t="shared" ca="1" si="310"/>
        <v>0</v>
      </c>
      <c r="S696" s="307">
        <f t="shared" ca="1" si="311"/>
        <v>7.4799999999999969</v>
      </c>
      <c r="T696" s="304">
        <f t="shared" ca="1" si="291"/>
        <v>73.37879999999997</v>
      </c>
      <c r="U696" s="311">
        <f t="shared" ca="1" si="292"/>
        <v>0</v>
      </c>
      <c r="V696" s="306">
        <f t="shared" ca="1" si="293"/>
        <v>1.2262733417053471</v>
      </c>
      <c r="W696" s="304">
        <f t="shared" ca="1" si="294"/>
        <v>57.959023366493668</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2.0194277142915569</v>
      </c>
      <c r="AH696" s="304">
        <f t="shared" ca="1" si="318"/>
        <v>-7.7484974790257306</v>
      </c>
    </row>
    <row r="697" spans="1:34" x14ac:dyDescent="0.2">
      <c r="A697" s="347">
        <f t="shared" ca="1" si="296"/>
        <v>1E-4</v>
      </c>
      <c r="B697" s="304">
        <f t="shared" ca="1" si="297"/>
        <v>34.716600000000774</v>
      </c>
      <c r="D697" s="306">
        <f t="shared" ca="1" si="298"/>
        <v>-0.7168715993144904</v>
      </c>
      <c r="E697" s="307">
        <f t="shared" ca="1" si="299"/>
        <v>-2.0947001635857214</v>
      </c>
      <c r="F697" s="304">
        <f t="shared" ca="1" si="300"/>
        <v>2.2139723722824014</v>
      </c>
      <c r="G697" s="306">
        <f t="shared" ca="1" si="301"/>
        <v>11.292444587805484</v>
      </c>
      <c r="H697" s="307">
        <f t="shared" ca="1" si="302"/>
        <v>-121.53543147108302</v>
      </c>
      <c r="I697" s="304">
        <f t="shared" ca="1" si="303"/>
        <v>122.05892186821484</v>
      </c>
      <c r="J697" s="306">
        <f t="shared" ca="1" si="304"/>
        <v>786.02923903053897</v>
      </c>
      <c r="K697" s="307">
        <f t="shared" ca="1" si="305"/>
        <v>-10.401380092458032</v>
      </c>
      <c r="L697" s="304">
        <f t="shared" ca="1" si="290"/>
        <v>786.0980557912327</v>
      </c>
      <c r="M697" s="306">
        <f t="shared" ca="1" si="306"/>
        <v>-1.4781474981311324</v>
      </c>
      <c r="N697" s="304">
        <f t="shared" ca="1" si="307"/>
        <v>-84.691613140735626</v>
      </c>
      <c r="P697" s="310">
        <f t="shared" ca="1" si="308"/>
        <v>23</v>
      </c>
      <c r="Q697" s="304">
        <f t="shared" ca="1" si="309"/>
        <v>0</v>
      </c>
      <c r="R697" s="306">
        <f t="shared" ca="1" si="310"/>
        <v>0</v>
      </c>
      <c r="S697" s="307">
        <f t="shared" ca="1" si="311"/>
        <v>7.4799999999999969</v>
      </c>
      <c r="T697" s="304">
        <f t="shared" ca="1" si="291"/>
        <v>73.37879999999997</v>
      </c>
      <c r="U697" s="311">
        <f t="shared" ca="1" si="292"/>
        <v>0</v>
      </c>
      <c r="V697" s="306">
        <f t="shared" ca="1" si="293"/>
        <v>1.2262748320619679</v>
      </c>
      <c r="W697" s="304">
        <f t="shared" ca="1" si="294"/>
        <v>57.959285587600206</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2.01939333255687</v>
      </c>
      <c r="AH697" s="304">
        <f t="shared" ca="1" si="318"/>
        <v>-7.7485325356274988</v>
      </c>
    </row>
    <row r="698" spans="1:34" x14ac:dyDescent="0.2">
      <c r="A698" s="347">
        <f t="shared" ca="1" si="296"/>
        <v>1E-4</v>
      </c>
      <c r="B698" s="304">
        <f t="shared" ca="1" si="297"/>
        <v>34.716700000000777</v>
      </c>
      <c r="D698" s="306">
        <f t="shared" ca="1" si="298"/>
        <v>-0.71686910573528584</v>
      </c>
      <c r="E698" s="307">
        <f t="shared" ca="1" si="299"/>
        <v>-2.0946647245971723</v>
      </c>
      <c r="F698" s="304">
        <f t="shared" ca="1" si="300"/>
        <v>2.2139380350925491</v>
      </c>
      <c r="G698" s="306">
        <f t="shared" ca="1" si="301"/>
        <v>11.292372900894911</v>
      </c>
      <c r="H698" s="307">
        <f t="shared" ca="1" si="302"/>
        <v>-121.53564093755547</v>
      </c>
      <c r="I698" s="304">
        <f t="shared" ca="1" si="303"/>
        <v>122.05912380414368</v>
      </c>
      <c r="J698" s="306">
        <f t="shared" ca="1" si="304"/>
        <v>786.02923903053897</v>
      </c>
      <c r="K698" s="307">
        <f t="shared" ca="1" si="305"/>
        <v>-10.413533646078465</v>
      </c>
      <c r="L698" s="304">
        <f t="shared" ca="1" si="290"/>
        <v>786.09821669682356</v>
      </c>
      <c r="M698" s="306">
        <f t="shared" ca="1" si="306"/>
        <v>-1.4781482416931513</v>
      </c>
      <c r="N698" s="304">
        <f t="shared" ca="1" si="307"/>
        <v>-84.691655743701119</v>
      </c>
      <c r="P698" s="310">
        <f t="shared" ca="1" si="308"/>
        <v>23</v>
      </c>
      <c r="Q698" s="304">
        <f t="shared" ca="1" si="309"/>
        <v>0</v>
      </c>
      <c r="R698" s="306">
        <f t="shared" ca="1" si="310"/>
        <v>0</v>
      </c>
      <c r="S698" s="307">
        <f t="shared" ca="1" si="311"/>
        <v>7.4799999999999969</v>
      </c>
      <c r="T698" s="304">
        <f t="shared" ca="1" si="291"/>
        <v>73.37879999999997</v>
      </c>
      <c r="U698" s="311">
        <f t="shared" ca="1" si="292"/>
        <v>0</v>
      </c>
      <c r="V698" s="306">
        <f t="shared" ca="1" si="293"/>
        <v>1.2262763224229696</v>
      </c>
      <c r="W698" s="304">
        <f t="shared" ca="1" si="294"/>
        <v>57.959547806432049</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2.0193589511143699</v>
      </c>
      <c r="AH698" s="304">
        <f t="shared" ca="1" si="318"/>
        <v>-7.7485675919251644</v>
      </c>
    </row>
    <row r="699" spans="1:34" x14ac:dyDescent="0.2">
      <c r="A699" s="347">
        <f t="shared" ca="1" si="296"/>
        <v>1E-4</v>
      </c>
      <c r="B699" s="304">
        <f t="shared" ca="1" si="297"/>
        <v>34.716800000000781</v>
      </c>
      <c r="D699" s="306">
        <f t="shared" ca="1" si="298"/>
        <v>-0.71686661213104252</v>
      </c>
      <c r="E699" s="307">
        <f t="shared" ca="1" si="299"/>
        <v>-2.0946292859160129</v>
      </c>
      <c r="F699" s="304">
        <f t="shared" ca="1" si="300"/>
        <v>2.2139036982229521</v>
      </c>
      <c r="G699" s="306">
        <f t="shared" ca="1" si="301"/>
        <v>11.292301214233698</v>
      </c>
      <c r="H699" s="307">
        <f t="shared" ca="1" si="302"/>
        <v>-121.53585040048407</v>
      </c>
      <c r="I699" s="304">
        <f t="shared" ca="1" si="303"/>
        <v>122.05932573663442</v>
      </c>
      <c r="J699" s="306">
        <f t="shared" ca="1" si="304"/>
        <v>786.02923903053897</v>
      </c>
      <c r="K699" s="307">
        <f t="shared" ca="1" si="305"/>
        <v>-10.425687220645367</v>
      </c>
      <c r="L699" s="304">
        <f t="shared" ca="1" si="290"/>
        <v>786.09837779056068</v>
      </c>
      <c r="M699" s="306">
        <f t="shared" ca="1" si="306"/>
        <v>-1.4781489852479897</v>
      </c>
      <c r="N699" s="304">
        <f t="shared" ca="1" si="307"/>
        <v>-84.691698346255194</v>
      </c>
      <c r="P699" s="310">
        <f t="shared" ca="1" si="308"/>
        <v>23</v>
      </c>
      <c r="Q699" s="304">
        <f t="shared" ca="1" si="309"/>
        <v>0</v>
      </c>
      <c r="R699" s="306">
        <f t="shared" ca="1" si="310"/>
        <v>0</v>
      </c>
      <c r="S699" s="307">
        <f t="shared" ca="1" si="311"/>
        <v>7.4799999999999969</v>
      </c>
      <c r="T699" s="304">
        <f t="shared" ca="1" si="291"/>
        <v>73.37879999999997</v>
      </c>
      <c r="U699" s="311">
        <f t="shared" ca="1" si="292"/>
        <v>0</v>
      </c>
      <c r="V699" s="306">
        <f t="shared" ca="1" si="293"/>
        <v>1.2262778127883522</v>
      </c>
      <c r="W699" s="304">
        <f t="shared" ca="1" si="294"/>
        <v>57.959810022989224</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2.0193245699640539</v>
      </c>
      <c r="AH699" s="304">
        <f t="shared" ca="1" si="318"/>
        <v>-7.7486026479187267</v>
      </c>
    </row>
    <row r="700" spans="1:34" x14ac:dyDescent="0.2">
      <c r="A700" s="347">
        <f t="shared" ca="1" si="296"/>
        <v>1E-4</v>
      </c>
      <c r="B700" s="304">
        <f t="shared" ca="1" si="297"/>
        <v>34.716900000000784</v>
      </c>
      <c r="D700" s="306">
        <f t="shared" ca="1" si="298"/>
        <v>-0.71686411850176024</v>
      </c>
      <c r="E700" s="307">
        <f t="shared" ca="1" si="299"/>
        <v>-2.0945938475422397</v>
      </c>
      <c r="F700" s="304">
        <f t="shared" ca="1" si="300"/>
        <v>2.2138693616736083</v>
      </c>
      <c r="G700" s="306">
        <f t="shared" ca="1" si="301"/>
        <v>11.292229527821847</v>
      </c>
      <c r="H700" s="307">
        <f t="shared" ca="1" si="302"/>
        <v>-121.53605985986881</v>
      </c>
      <c r="I700" s="304">
        <f t="shared" ca="1" si="303"/>
        <v>122.05952766568707</v>
      </c>
      <c r="J700" s="306">
        <f t="shared" ca="1" si="304"/>
        <v>786.02923903053897</v>
      </c>
      <c r="K700" s="307">
        <f t="shared" ca="1" si="305"/>
        <v>-10.437840816158385</v>
      </c>
      <c r="L700" s="304">
        <f t="shared" ca="1" si="290"/>
        <v>786.09853907244462</v>
      </c>
      <c r="M700" s="306">
        <f t="shared" ca="1" si="306"/>
        <v>-1.4781497287956473</v>
      </c>
      <c r="N700" s="304">
        <f t="shared" ca="1" si="307"/>
        <v>-84.691740948397836</v>
      </c>
      <c r="P700" s="310">
        <f t="shared" ca="1" si="308"/>
        <v>23</v>
      </c>
      <c r="Q700" s="304">
        <f t="shared" ca="1" si="309"/>
        <v>0</v>
      </c>
      <c r="R700" s="306">
        <f t="shared" ca="1" si="310"/>
        <v>0</v>
      </c>
      <c r="S700" s="307">
        <f t="shared" ca="1" si="311"/>
        <v>7.4799999999999969</v>
      </c>
      <c r="T700" s="304">
        <f t="shared" ca="1" si="291"/>
        <v>73.37879999999997</v>
      </c>
      <c r="U700" s="311">
        <f t="shared" ca="1" si="292"/>
        <v>0</v>
      </c>
      <c r="V700" s="306">
        <f t="shared" ca="1" si="293"/>
        <v>1.2262793031581152</v>
      </c>
      <c r="W700" s="304">
        <f t="shared" ca="1" si="294"/>
        <v>57.960072237271689</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2.019290189105921</v>
      </c>
      <c r="AH700" s="304">
        <f t="shared" ca="1" si="318"/>
        <v>-7.7486377036081882</v>
      </c>
    </row>
    <row r="701" spans="1:34" x14ac:dyDescent="0.2">
      <c r="A701" s="347">
        <f t="shared" ca="1" si="296"/>
        <v>1E-4</v>
      </c>
      <c r="B701" s="304">
        <f t="shared" ca="1" si="297"/>
        <v>34.717000000000787</v>
      </c>
      <c r="D701" s="306">
        <f t="shared" ca="1" si="298"/>
        <v>-0.71686162484744176</v>
      </c>
      <c r="E701" s="307">
        <f t="shared" ca="1" si="299"/>
        <v>-2.0945584094758578</v>
      </c>
      <c r="F701" s="304">
        <f t="shared" ca="1" si="300"/>
        <v>2.2138350254445225</v>
      </c>
      <c r="G701" s="306">
        <f t="shared" ca="1" si="301"/>
        <v>11.292157841659362</v>
      </c>
      <c r="H701" s="307">
        <f t="shared" ca="1" si="302"/>
        <v>-121.53626931570976</v>
      </c>
      <c r="I701" s="304">
        <f t="shared" ca="1" si="303"/>
        <v>122.05972959130166</v>
      </c>
      <c r="J701" s="306">
        <f t="shared" ca="1" si="304"/>
        <v>786.02923903053897</v>
      </c>
      <c r="K701" s="307">
        <f t="shared" ca="1" si="305"/>
        <v>-10.449994432617164</v>
      </c>
      <c r="L701" s="304">
        <f t="shared" ca="1" si="290"/>
        <v>786.09870054247642</v>
      </c>
      <c r="M701" s="306">
        <f t="shared" ca="1" si="306"/>
        <v>-1.4781504723361247</v>
      </c>
      <c r="N701" s="304">
        <f t="shared" ca="1" si="307"/>
        <v>-84.691783550129088</v>
      </c>
      <c r="P701" s="310">
        <f t="shared" ca="1" si="308"/>
        <v>23</v>
      </c>
      <c r="Q701" s="304">
        <f t="shared" ca="1" si="309"/>
        <v>0</v>
      </c>
      <c r="R701" s="306">
        <f t="shared" ca="1" si="310"/>
        <v>0</v>
      </c>
      <c r="S701" s="307">
        <f t="shared" ca="1" si="311"/>
        <v>7.4799999999999969</v>
      </c>
      <c r="T701" s="304">
        <f t="shared" ca="1" si="291"/>
        <v>73.37879999999997</v>
      </c>
      <c r="U701" s="311">
        <f t="shared" ca="1" si="292"/>
        <v>0</v>
      </c>
      <c r="V701" s="306">
        <f t="shared" ca="1" si="293"/>
        <v>1.2262807935322597</v>
      </c>
      <c r="W701" s="304">
        <f t="shared" ca="1" si="294"/>
        <v>57.960334449279529</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2.0192558085399792</v>
      </c>
      <c r="AH701" s="304">
        <f t="shared" ca="1" si="318"/>
        <v>-7.7486727589935445</v>
      </c>
    </row>
    <row r="702" spans="1:34" x14ac:dyDescent="0.2">
      <c r="A702" s="347">
        <f t="shared" ca="1" si="296"/>
        <v>1E-4</v>
      </c>
      <c r="B702" s="304">
        <f t="shared" ca="1" si="297"/>
        <v>34.717100000000791</v>
      </c>
      <c r="D702" s="306">
        <f t="shared" ca="1" si="298"/>
        <v>-0.71685913116808619</v>
      </c>
      <c r="E702" s="307">
        <f t="shared" ca="1" si="299"/>
        <v>-2.0945229717168568</v>
      </c>
      <c r="F702" s="304">
        <f t="shared" ca="1" si="300"/>
        <v>2.2138006895356854</v>
      </c>
      <c r="G702" s="306">
        <f t="shared" ca="1" si="301"/>
        <v>11.292086155746246</v>
      </c>
      <c r="H702" s="307">
        <f t="shared" ca="1" si="302"/>
        <v>-121.53647876800693</v>
      </c>
      <c r="I702" s="304">
        <f t="shared" ca="1" si="303"/>
        <v>122.05993151347823</v>
      </c>
      <c r="J702" s="306">
        <f t="shared" ca="1" si="304"/>
        <v>786.02923903053897</v>
      </c>
      <c r="K702" s="307">
        <f t="shared" ca="1" si="305"/>
        <v>-10.46214807002135</v>
      </c>
      <c r="L702" s="304">
        <f t="shared" ca="1" si="290"/>
        <v>786.09886220065687</v>
      </c>
      <c r="M702" s="306">
        <f t="shared" ca="1" si="306"/>
        <v>-1.4781512158694219</v>
      </c>
      <c r="N702" s="304">
        <f t="shared" ca="1" si="307"/>
        <v>-84.69182615144895</v>
      </c>
      <c r="P702" s="310">
        <f t="shared" ca="1" si="308"/>
        <v>23</v>
      </c>
      <c r="Q702" s="304">
        <f t="shared" ca="1" si="309"/>
        <v>0</v>
      </c>
      <c r="R702" s="306">
        <f t="shared" ca="1" si="310"/>
        <v>0</v>
      </c>
      <c r="S702" s="307">
        <f t="shared" ca="1" si="311"/>
        <v>7.4799999999999969</v>
      </c>
      <c r="T702" s="304">
        <f t="shared" ca="1" si="291"/>
        <v>73.37879999999997</v>
      </c>
      <c r="U702" s="311">
        <f t="shared" ca="1" si="292"/>
        <v>0</v>
      </c>
      <c r="V702" s="306">
        <f t="shared" ca="1" si="293"/>
        <v>1.226282283910785</v>
      </c>
      <c r="W702" s="304">
        <f t="shared" ca="1" si="294"/>
        <v>57.960596659012694</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2.0192214282662109</v>
      </c>
      <c r="AH702" s="304">
        <f t="shared" ca="1" si="318"/>
        <v>-7.7487078140748062</v>
      </c>
    </row>
    <row r="703" spans="1:34" x14ac:dyDescent="0.2">
      <c r="A703" s="347">
        <f t="shared" ca="1" si="296"/>
        <v>1E-4</v>
      </c>
      <c r="B703" s="304">
        <f t="shared" ca="1" si="297"/>
        <v>34.717200000000794</v>
      </c>
      <c r="D703" s="306">
        <f t="shared" ca="1" si="298"/>
        <v>-0.71685663746369432</v>
      </c>
      <c r="E703" s="307">
        <f t="shared" ca="1" si="299"/>
        <v>-2.0944875342652418</v>
      </c>
      <c r="F703" s="304">
        <f t="shared" ca="1" si="300"/>
        <v>2.2137663539471024</v>
      </c>
      <c r="G703" s="306">
        <f t="shared" ca="1" si="301"/>
        <v>11.292014470082499</v>
      </c>
      <c r="H703" s="307">
        <f t="shared" ca="1" si="302"/>
        <v>-121.53668821676035</v>
      </c>
      <c r="I703" s="304">
        <f t="shared" ca="1" si="303"/>
        <v>122.0601334322168</v>
      </c>
      <c r="J703" s="306">
        <f t="shared" ca="1" si="304"/>
        <v>786.02923903053897</v>
      </c>
      <c r="K703" s="307">
        <f t="shared" ca="1" si="305"/>
        <v>-10.474301728370587</v>
      </c>
      <c r="L703" s="304">
        <f t="shared" ca="1" si="290"/>
        <v>786.09902404698687</v>
      </c>
      <c r="M703" s="306">
        <f t="shared" ca="1" si="306"/>
        <v>-1.478151959395539</v>
      </c>
      <c r="N703" s="304">
        <f t="shared" ca="1" si="307"/>
        <v>-84.691868752357422</v>
      </c>
      <c r="P703" s="310">
        <f t="shared" ca="1" si="308"/>
        <v>23</v>
      </c>
      <c r="Q703" s="304">
        <f t="shared" ca="1" si="309"/>
        <v>0</v>
      </c>
      <c r="R703" s="306">
        <f t="shared" ca="1" si="310"/>
        <v>0</v>
      </c>
      <c r="S703" s="307">
        <f t="shared" ca="1" si="311"/>
        <v>7.4799999999999969</v>
      </c>
      <c r="T703" s="304">
        <f t="shared" ca="1" si="291"/>
        <v>73.37879999999997</v>
      </c>
      <c r="U703" s="311">
        <f t="shared" ca="1" si="292"/>
        <v>0</v>
      </c>
      <c r="V703" s="306">
        <f t="shared" ca="1" si="293"/>
        <v>1.2262837742936905</v>
      </c>
      <c r="W703" s="304">
        <f t="shared" ca="1" si="294"/>
        <v>57.960858866471156</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2.0191870482846292</v>
      </c>
      <c r="AH703" s="304">
        <f t="shared" ca="1" si="318"/>
        <v>-7.7487428688519673</v>
      </c>
    </row>
    <row r="704" spans="1:34" x14ac:dyDescent="0.2">
      <c r="A704" s="347">
        <f t="shared" ca="1" si="296"/>
        <v>1E-4</v>
      </c>
      <c r="B704" s="304">
        <f t="shared" ca="1" si="297"/>
        <v>34.717300000000797</v>
      </c>
      <c r="D704" s="306">
        <f t="shared" ca="1" si="298"/>
        <v>-0.71685414373426537</v>
      </c>
      <c r="E704" s="307">
        <f t="shared" ca="1" si="299"/>
        <v>-2.0944520971210165</v>
      </c>
      <c r="F704" s="304">
        <f t="shared" ca="1" si="300"/>
        <v>2.2137320186787766</v>
      </c>
      <c r="G704" s="306">
        <f t="shared" ca="1" si="301"/>
        <v>11.291942784668125</v>
      </c>
      <c r="H704" s="307">
        <f t="shared" ca="1" si="302"/>
        <v>-121.53689766197006</v>
      </c>
      <c r="I704" s="304">
        <f t="shared" ca="1" si="303"/>
        <v>122.06033534751738</v>
      </c>
      <c r="J704" s="306">
        <f t="shared" ca="1" si="304"/>
        <v>786.02923903053897</v>
      </c>
      <c r="K704" s="307">
        <f t="shared" ca="1" si="305"/>
        <v>-10.486455407664524</v>
      </c>
      <c r="L704" s="304">
        <f t="shared" ca="1" si="290"/>
        <v>786.09918608146722</v>
      </c>
      <c r="M704" s="306">
        <f t="shared" ca="1" si="306"/>
        <v>-1.4781527029144759</v>
      </c>
      <c r="N704" s="304">
        <f t="shared" ca="1" si="307"/>
        <v>-84.69191135285449</v>
      </c>
      <c r="P704" s="310">
        <f t="shared" ca="1" si="308"/>
        <v>23</v>
      </c>
      <c r="Q704" s="304">
        <f t="shared" ca="1" si="309"/>
        <v>0</v>
      </c>
      <c r="R704" s="306">
        <f t="shared" ca="1" si="310"/>
        <v>0</v>
      </c>
      <c r="S704" s="307">
        <f t="shared" ca="1" si="311"/>
        <v>7.4799999999999969</v>
      </c>
      <c r="T704" s="304">
        <f t="shared" ca="1" si="291"/>
        <v>73.37879999999997</v>
      </c>
      <c r="U704" s="311">
        <f t="shared" ca="1" si="292"/>
        <v>0</v>
      </c>
      <c r="V704" s="306">
        <f t="shared" ca="1" si="293"/>
        <v>1.226285264680977</v>
      </c>
      <c r="W704" s="304">
        <f t="shared" ca="1" si="294"/>
        <v>57.961121071654944</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2.0191526685952343</v>
      </c>
      <c r="AH704" s="304">
        <f t="shared" ca="1" si="318"/>
        <v>-7.748777923325024</v>
      </c>
    </row>
    <row r="705" spans="1:34" x14ac:dyDescent="0.2">
      <c r="A705" s="347">
        <f t="shared" ca="1" si="296"/>
        <v>1E-4</v>
      </c>
      <c r="B705" s="304">
        <f t="shared" ca="1" si="297"/>
        <v>34.717400000000801</v>
      </c>
      <c r="D705" s="306">
        <f t="shared" ca="1" si="298"/>
        <v>-0.71685164997980311</v>
      </c>
      <c r="E705" s="307">
        <f t="shared" ca="1" si="299"/>
        <v>-2.0944166602841783</v>
      </c>
      <c r="F705" s="304">
        <f t="shared" ca="1" si="300"/>
        <v>2.213697683730707</v>
      </c>
      <c r="G705" s="306">
        <f t="shared" ca="1" si="301"/>
        <v>11.291871099503126</v>
      </c>
      <c r="H705" s="307">
        <f t="shared" ca="1" si="302"/>
        <v>-121.53710710363609</v>
      </c>
      <c r="I705" s="304">
        <f t="shared" ca="1" si="303"/>
        <v>122.06053725938004</v>
      </c>
      <c r="J705" s="306">
        <f t="shared" ca="1" si="304"/>
        <v>786.02923903053897</v>
      </c>
      <c r="K705" s="307">
        <f t="shared" ca="1" si="305"/>
        <v>-10.498609107902803</v>
      </c>
      <c r="L705" s="304">
        <f t="shared" ca="1" si="290"/>
        <v>786.09934830409873</v>
      </c>
      <c r="M705" s="306">
        <f t="shared" ca="1" si="306"/>
        <v>-1.4781534464262329</v>
      </c>
      <c r="N705" s="304">
        <f t="shared" ca="1" si="307"/>
        <v>-84.691953952940182</v>
      </c>
      <c r="P705" s="310">
        <f t="shared" ca="1" si="308"/>
        <v>23</v>
      </c>
      <c r="Q705" s="304">
        <f t="shared" ca="1" si="309"/>
        <v>0</v>
      </c>
      <c r="R705" s="306">
        <f t="shared" ca="1" si="310"/>
        <v>0</v>
      </c>
      <c r="S705" s="307">
        <f t="shared" ca="1" si="311"/>
        <v>7.4799999999999969</v>
      </c>
      <c r="T705" s="304">
        <f t="shared" ca="1" si="291"/>
        <v>73.37879999999997</v>
      </c>
      <c r="U705" s="311">
        <f t="shared" ca="1" si="292"/>
        <v>0</v>
      </c>
      <c r="V705" s="306">
        <f t="shared" ca="1" si="293"/>
        <v>1.2262867550726446</v>
      </c>
      <c r="W705" s="304">
        <f t="shared" ca="1" si="294"/>
        <v>57.961383274564113</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2.0191182891980244</v>
      </c>
      <c r="AH705" s="304">
        <f t="shared" ca="1" si="318"/>
        <v>-7.74881297749398</v>
      </c>
    </row>
    <row r="706" spans="1:34" x14ac:dyDescent="0.2">
      <c r="A706" s="347">
        <f t="shared" ca="1" si="296"/>
        <v>1E-4</v>
      </c>
      <c r="B706" s="304">
        <f t="shared" ca="1" si="297"/>
        <v>34.717500000000804</v>
      </c>
      <c r="D706" s="306">
        <f t="shared" ca="1" si="298"/>
        <v>-0.71684915620030598</v>
      </c>
      <c r="E706" s="307">
        <f t="shared" ca="1" si="299"/>
        <v>-2.0943812237547208</v>
      </c>
      <c r="F706" s="304">
        <f t="shared" ca="1" si="300"/>
        <v>2.2136633491028874</v>
      </c>
      <c r="G706" s="306">
        <f t="shared" ca="1" si="301"/>
        <v>11.291799414587507</v>
      </c>
      <c r="H706" s="307">
        <f t="shared" ca="1" si="302"/>
        <v>-121.53731654175846</v>
      </c>
      <c r="I706" s="304">
        <f t="shared" ca="1" si="303"/>
        <v>122.06073916780478</v>
      </c>
      <c r="J706" s="306">
        <f t="shared" ca="1" si="304"/>
        <v>786.02923903053897</v>
      </c>
      <c r="K706" s="307">
        <f t="shared" ca="1" si="305"/>
        <v>-10.510762829085072</v>
      </c>
      <c r="L706" s="304">
        <f t="shared" ca="1" si="290"/>
        <v>786.0995107148824</v>
      </c>
      <c r="M706" s="306">
        <f t="shared" ca="1" si="306"/>
        <v>-1.4781541899308102</v>
      </c>
      <c r="N706" s="304">
        <f t="shared" ca="1" si="307"/>
        <v>-84.691996552614512</v>
      </c>
      <c r="P706" s="310">
        <f t="shared" ca="1" si="308"/>
        <v>23</v>
      </c>
      <c r="Q706" s="304">
        <f t="shared" ca="1" si="309"/>
        <v>0</v>
      </c>
      <c r="R706" s="306">
        <f t="shared" ca="1" si="310"/>
        <v>0</v>
      </c>
      <c r="S706" s="307">
        <f t="shared" ca="1" si="311"/>
        <v>7.4799999999999969</v>
      </c>
      <c r="T706" s="304">
        <f t="shared" ca="1" si="291"/>
        <v>73.37879999999997</v>
      </c>
      <c r="U706" s="311">
        <f t="shared" ca="1" si="292"/>
        <v>0</v>
      </c>
      <c r="V706" s="306">
        <f t="shared" ca="1" si="293"/>
        <v>1.2262882454686925</v>
      </c>
      <c r="W706" s="304">
        <f t="shared" ca="1" si="294"/>
        <v>57.961645475198566</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2.0190839100929932</v>
      </c>
      <c r="AH706" s="304">
        <f t="shared" ca="1" si="318"/>
        <v>-7.7488480313588415</v>
      </c>
    </row>
    <row r="707" spans="1:34" x14ac:dyDescent="0.2">
      <c r="A707" s="347">
        <f t="shared" ca="1" si="296"/>
        <v>1E-4</v>
      </c>
      <c r="B707" s="304">
        <f t="shared" ca="1" si="297"/>
        <v>34.717600000000807</v>
      </c>
      <c r="D707" s="306">
        <f t="shared" ca="1" si="298"/>
        <v>-0.71684666239577455</v>
      </c>
      <c r="E707" s="307">
        <f t="shared" ca="1" si="299"/>
        <v>-2.0943457875326548</v>
      </c>
      <c r="F707" s="304">
        <f t="shared" ca="1" si="300"/>
        <v>2.2136290147953286</v>
      </c>
      <c r="G707" s="306">
        <f t="shared" ca="1" si="301"/>
        <v>11.291727729921266</v>
      </c>
      <c r="H707" s="307">
        <f t="shared" ca="1" si="302"/>
        <v>-121.53752597633721</v>
      </c>
      <c r="I707" s="304">
        <f t="shared" ca="1" si="303"/>
        <v>122.06094107279165</v>
      </c>
      <c r="J707" s="306">
        <f t="shared" ca="1" si="304"/>
        <v>786.02923903053897</v>
      </c>
      <c r="K707" s="307">
        <f t="shared" ca="1" si="305"/>
        <v>-10.522916571210978</v>
      </c>
      <c r="L707" s="304">
        <f t="shared" ca="1" si="290"/>
        <v>786.09967331381893</v>
      </c>
      <c r="M707" s="306">
        <f t="shared" ca="1" si="306"/>
        <v>-1.4781549334282074</v>
      </c>
      <c r="N707" s="304">
        <f t="shared" ca="1" si="307"/>
        <v>-84.692039151877452</v>
      </c>
      <c r="P707" s="310">
        <f t="shared" ca="1" si="308"/>
        <v>23</v>
      </c>
      <c r="Q707" s="304">
        <f t="shared" ca="1" si="309"/>
        <v>0</v>
      </c>
      <c r="R707" s="306">
        <f t="shared" ca="1" si="310"/>
        <v>0</v>
      </c>
      <c r="S707" s="307">
        <f t="shared" ca="1" si="311"/>
        <v>7.4799999999999969</v>
      </c>
      <c r="T707" s="304">
        <f t="shared" ca="1" si="291"/>
        <v>73.37879999999997</v>
      </c>
      <c r="U707" s="311">
        <f t="shared" ca="1" si="292"/>
        <v>0</v>
      </c>
      <c r="V707" s="306">
        <f t="shared" ca="1" si="293"/>
        <v>1.2262897358691212</v>
      </c>
      <c r="W707" s="304">
        <f t="shared" ca="1" si="294"/>
        <v>57.961907673558372</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2.0190495312801513</v>
      </c>
      <c r="AH707" s="304">
        <f t="shared" ca="1" si="318"/>
        <v>-7.7488830849195978</v>
      </c>
    </row>
    <row r="708" spans="1:34" x14ac:dyDescent="0.2">
      <c r="A708" s="347">
        <f t="shared" ca="1" si="296"/>
        <v>1E-4</v>
      </c>
      <c r="B708" s="304">
        <f t="shared" ca="1" si="297"/>
        <v>34.717700000000811</v>
      </c>
      <c r="D708" s="306">
        <f t="shared" ca="1" si="298"/>
        <v>-0.71684416856621236</v>
      </c>
      <c r="E708" s="307">
        <f t="shared" ca="1" si="299"/>
        <v>-2.0943103516179722</v>
      </c>
      <c r="F708" s="304">
        <f t="shared" ca="1" si="300"/>
        <v>2.2135946808080242</v>
      </c>
      <c r="G708" s="306">
        <f t="shared" ca="1" si="301"/>
        <v>11.291656045504411</v>
      </c>
      <c r="H708" s="307">
        <f t="shared" ca="1" si="302"/>
        <v>-121.53773540737237</v>
      </c>
      <c r="I708" s="304">
        <f t="shared" ca="1" si="303"/>
        <v>122.06114297434065</v>
      </c>
      <c r="J708" s="306">
        <f t="shared" ca="1" si="304"/>
        <v>786.02923903053897</v>
      </c>
      <c r="K708" s="307">
        <f t="shared" ca="1" si="305"/>
        <v>-10.535070334280164</v>
      </c>
      <c r="L708" s="304">
        <f t="shared" ref="L708:L771" ca="1" si="319">SQRT(pos_x^2+pos_z^2)</f>
        <v>786.09983610090922</v>
      </c>
      <c r="M708" s="306">
        <f t="shared" ca="1" si="306"/>
        <v>-1.4781556769184252</v>
      </c>
      <c r="N708" s="304">
        <f t="shared" ca="1" si="307"/>
        <v>-84.692081750729045</v>
      </c>
      <c r="P708" s="310">
        <f t="shared" ca="1" si="308"/>
        <v>23</v>
      </c>
      <c r="Q708" s="304">
        <f t="shared" ca="1" si="309"/>
        <v>0</v>
      </c>
      <c r="R708" s="306">
        <f t="shared" ca="1" si="310"/>
        <v>0</v>
      </c>
      <c r="S708" s="307">
        <f t="shared" ca="1" si="311"/>
        <v>7.4799999999999969</v>
      </c>
      <c r="T708" s="304">
        <f t="shared" ref="T708:T771" ca="1" si="320">m*g</f>
        <v>73.37879999999997</v>
      </c>
      <c r="U708" s="311">
        <f t="shared" ref="U708:U771" ca="1" si="321">IF(pos_xz&lt;L_rampe,Poids*COS(Beta),0)</f>
        <v>0</v>
      </c>
      <c r="V708" s="306">
        <f t="shared" ref="V708:V771" ca="1" si="322">Rho_moyen*(20000-Alt_rampe-pos_z)/(20000+Alt_rampe+pos_z)</f>
        <v>1.2262912262739301</v>
      </c>
      <c r="W708" s="304">
        <f t="shared" ref="W708:W771" ca="1" si="323">1/2*Rho*Sref*Cx*vit_xz^2</f>
        <v>57.962169869643489</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2.0190151527594917</v>
      </c>
      <c r="AH708" s="304">
        <f t="shared" ca="1" si="318"/>
        <v>-7.748918138176256</v>
      </c>
    </row>
    <row r="709" spans="1:34" x14ac:dyDescent="0.2">
      <c r="A709" s="347">
        <f t="shared" ref="A709:A772" ca="1" si="325">IF(B708+0.01&lt;=T_ini+ROUNDUP(Temps_fin_propu,0), 0.01, IF(K708&gt;0, 0.1, 0.0001))</f>
        <v>1E-4</v>
      </c>
      <c r="B709" s="304">
        <f t="shared" ref="B709:B772" ca="1" si="326">B708+pas</f>
        <v>34.717800000000814</v>
      </c>
      <c r="D709" s="306">
        <f t="shared" ref="D709:D772" ca="1" si="327">IF(AND(L708&lt;L_rampe,Poussee&lt;Poids*SIN(M708)),0,(-W708+Poussee)/m*COS(M708)-U708/m*SIN(M708))</f>
        <v>-0.71684167471161564</v>
      </c>
      <c r="E709" s="307">
        <f t="shared" ref="E709:E772" ca="1" si="328">IF(AND(L708&lt;L_rampe,Poussee&lt;Poids*SIN(M708)),0,(-W708+Poussee)/m*SIN(M708)+U708/m*COS(M708)-Poids/m)</f>
        <v>-2.0942749160106775</v>
      </c>
      <c r="F709" s="304">
        <f t="shared" ref="F709:F772" ca="1" si="329">SQRT(acc_x^2+acc_z^2)</f>
        <v>2.2135603471409775</v>
      </c>
      <c r="G709" s="306">
        <f t="shared" ref="G709:G772" ca="1" si="330">G708+acc_x*pas</f>
        <v>11.291584361336939</v>
      </c>
      <c r="H709" s="307">
        <f t="shared" ref="H709:H772" ca="1" si="331">H708+acc_z*pas</f>
        <v>-121.53794483486396</v>
      </c>
      <c r="I709" s="304">
        <f t="shared" ref="I709:I772" ca="1" si="332">SQRT(vit_x^2+vit_z^2)</f>
        <v>122.06134487245184</v>
      </c>
      <c r="J709" s="306">
        <f t="shared" ref="J709:J772" ca="1" si="333">J708+0.5*(vit_x+G708)*pas*(K708&gt;=0)</f>
        <v>786.02923903053897</v>
      </c>
      <c r="K709" s="307">
        <f t="shared" ref="K709:K772" ca="1" si="334">K708+0.5*(vit_z+H708)*pas</f>
        <v>-10.547224118292275</v>
      </c>
      <c r="L709" s="304">
        <f t="shared" ca="1" si="319"/>
        <v>786.09999907615418</v>
      </c>
      <c r="M709" s="306">
        <f t="shared" ref="M709:M772" ca="1" si="335">IF(AND(L708&gt;L_rampe,G709&gt;0),ATAN2(G709,H709),$M$4)</f>
        <v>-1.4781564204014634</v>
      </c>
      <c r="N709" s="304">
        <f t="shared" ref="N709:N772" ca="1" si="336">DEGREES(Beta)</f>
        <v>-84.692124349169276</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7.4799999999999969</v>
      </c>
      <c r="T709" s="304">
        <f t="shared" ca="1" si="320"/>
        <v>73.37879999999997</v>
      </c>
      <c r="U709" s="311">
        <f t="shared" ca="1" si="321"/>
        <v>0</v>
      </c>
      <c r="V709" s="306">
        <f t="shared" ca="1" si="322"/>
        <v>1.2262927166831197</v>
      </c>
      <c r="W709" s="304">
        <f t="shared" ca="1" si="323"/>
        <v>57.962432063453953</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2.0189807745310206</v>
      </c>
      <c r="AH709" s="304">
        <f t="shared" ref="AH709:AH772" ca="1" si="347">IF(AND(L708&lt;L_rampe,Poussee&lt;Poids*SIN(M708)), g*SIN(M708), (-W708+Poussee)/m)</f>
        <v>-7.7489531911288116</v>
      </c>
    </row>
    <row r="710" spans="1:34" x14ac:dyDescent="0.2">
      <c r="A710" s="347">
        <f t="shared" ca="1" si="325"/>
        <v>1E-4</v>
      </c>
      <c r="B710" s="304">
        <f t="shared" ca="1" si="326"/>
        <v>34.717900000000817</v>
      </c>
      <c r="D710" s="306">
        <f t="shared" ca="1" si="327"/>
        <v>-0.71683918083198761</v>
      </c>
      <c r="E710" s="307">
        <f t="shared" ca="1" si="328"/>
        <v>-2.0942394807107672</v>
      </c>
      <c r="F710" s="304">
        <f t="shared" ca="1" si="329"/>
        <v>2.2135260137941861</v>
      </c>
      <c r="G710" s="306">
        <f t="shared" ca="1" si="330"/>
        <v>11.291512677418856</v>
      </c>
      <c r="H710" s="307">
        <f t="shared" ca="1" si="331"/>
        <v>-121.53815425881203</v>
      </c>
      <c r="I710" s="304">
        <f t="shared" ca="1" si="332"/>
        <v>122.06154676712522</v>
      </c>
      <c r="J710" s="306">
        <f t="shared" ca="1" si="333"/>
        <v>786.02923903053897</v>
      </c>
      <c r="K710" s="307">
        <f t="shared" ca="1" si="334"/>
        <v>-10.559377923246959</v>
      </c>
      <c r="L710" s="304">
        <f t="shared" ca="1" si="319"/>
        <v>786.10016223955472</v>
      </c>
      <c r="M710" s="306">
        <f t="shared" ca="1" si="335"/>
        <v>-1.4781571638773221</v>
      </c>
      <c r="N710" s="304">
        <f t="shared" ca="1" si="336"/>
        <v>-84.692166947198146</v>
      </c>
      <c r="P710" s="310">
        <f t="shared" ca="1" si="337"/>
        <v>23</v>
      </c>
      <c r="Q710" s="304">
        <f t="shared" ca="1" si="338"/>
        <v>0</v>
      </c>
      <c r="R710" s="306">
        <f t="shared" ca="1" si="339"/>
        <v>0</v>
      </c>
      <c r="S710" s="307">
        <f t="shared" ca="1" si="340"/>
        <v>7.4799999999999969</v>
      </c>
      <c r="T710" s="304">
        <f t="shared" ca="1" si="320"/>
        <v>73.37879999999997</v>
      </c>
      <c r="U710" s="311">
        <f t="shared" ca="1" si="321"/>
        <v>0</v>
      </c>
      <c r="V710" s="306">
        <f t="shared" ca="1" si="322"/>
        <v>1.22629420709669</v>
      </c>
      <c r="W710" s="304">
        <f t="shared" ca="1" si="323"/>
        <v>57.962694254989756</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2.0189463965947319</v>
      </c>
      <c r="AH710" s="304">
        <f t="shared" ca="1" si="347"/>
        <v>-7.7489882437772692</v>
      </c>
    </row>
    <row r="711" spans="1:34" x14ac:dyDescent="0.2">
      <c r="A711" s="347">
        <f t="shared" ca="1" si="325"/>
        <v>1E-4</v>
      </c>
      <c r="B711" s="304">
        <f t="shared" ca="1" si="326"/>
        <v>34.718000000000821</v>
      </c>
      <c r="D711" s="306">
        <f t="shared" ca="1" si="327"/>
        <v>-0.71683668692733005</v>
      </c>
      <c r="E711" s="307">
        <f t="shared" ca="1" si="328"/>
        <v>-2.094204045718242</v>
      </c>
      <c r="F711" s="304">
        <f t="shared" ca="1" si="329"/>
        <v>2.2134916807676519</v>
      </c>
      <c r="G711" s="306">
        <f t="shared" ca="1" si="330"/>
        <v>11.291440993750163</v>
      </c>
      <c r="H711" s="307">
        <f t="shared" ca="1" si="331"/>
        <v>-121.5383636792166</v>
      </c>
      <c r="I711" s="304">
        <f t="shared" ca="1" si="332"/>
        <v>122.06174865836086</v>
      </c>
      <c r="J711" s="306">
        <f t="shared" ca="1" si="333"/>
        <v>786.02923903053897</v>
      </c>
      <c r="K711" s="307">
        <f t="shared" ca="1" si="334"/>
        <v>-10.57153174914386</v>
      </c>
      <c r="L711" s="304">
        <f t="shared" ca="1" si="319"/>
        <v>786.10032559111141</v>
      </c>
      <c r="M711" s="306">
        <f t="shared" ca="1" si="335"/>
        <v>-1.4781579073460014</v>
      </c>
      <c r="N711" s="304">
        <f t="shared" ca="1" si="336"/>
        <v>-84.692209544815668</v>
      </c>
      <c r="P711" s="310">
        <f t="shared" ca="1" si="337"/>
        <v>23</v>
      </c>
      <c r="Q711" s="304">
        <f t="shared" ca="1" si="338"/>
        <v>0</v>
      </c>
      <c r="R711" s="306">
        <f t="shared" ca="1" si="339"/>
        <v>0</v>
      </c>
      <c r="S711" s="307">
        <f t="shared" ca="1" si="340"/>
        <v>7.4799999999999969</v>
      </c>
      <c r="T711" s="304">
        <f t="shared" ca="1" si="320"/>
        <v>73.37879999999997</v>
      </c>
      <c r="U711" s="311">
        <f t="shared" ca="1" si="321"/>
        <v>0</v>
      </c>
      <c r="V711" s="306">
        <f t="shared" ca="1" si="322"/>
        <v>1.2262956975146411</v>
      </c>
      <c r="W711" s="304">
        <f t="shared" ca="1" si="323"/>
        <v>57.962956444250921</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2.0189120189506253</v>
      </c>
      <c r="AH711" s="304">
        <f t="shared" ca="1" si="347"/>
        <v>-7.7490232961216288</v>
      </c>
    </row>
    <row r="712" spans="1:34" x14ac:dyDescent="0.2">
      <c r="A712" s="347">
        <f t="shared" ca="1" si="325"/>
        <v>1E-4</v>
      </c>
      <c r="B712" s="304">
        <f t="shared" ca="1" si="326"/>
        <v>34.718100000000824</v>
      </c>
      <c r="D712" s="306">
        <f t="shared" ca="1" si="327"/>
        <v>-0.71683419299764262</v>
      </c>
      <c r="E712" s="307">
        <f t="shared" ca="1" si="328"/>
        <v>-2.0941686110330986</v>
      </c>
      <c r="F712" s="304">
        <f t="shared" ca="1" si="329"/>
        <v>2.2134573480613713</v>
      </c>
      <c r="G712" s="306">
        <f t="shared" ca="1" si="330"/>
        <v>11.291369310330863</v>
      </c>
      <c r="H712" s="307">
        <f t="shared" ca="1" si="331"/>
        <v>-121.5385730960777</v>
      </c>
      <c r="I712" s="304">
        <f t="shared" ca="1" si="332"/>
        <v>122.06195054615874</v>
      </c>
      <c r="J712" s="306">
        <f t="shared" ca="1" si="333"/>
        <v>786.02923903053897</v>
      </c>
      <c r="K712" s="307">
        <f t="shared" ca="1" si="334"/>
        <v>-10.583685595982624</v>
      </c>
      <c r="L712" s="304">
        <f t="shared" ca="1" si="319"/>
        <v>786.10048913082528</v>
      </c>
      <c r="M712" s="306">
        <f t="shared" ca="1" si="335"/>
        <v>-1.4781586508075015</v>
      </c>
      <c r="N712" s="304">
        <f t="shared" ca="1" si="336"/>
        <v>-84.692252142021857</v>
      </c>
      <c r="P712" s="310">
        <f t="shared" ca="1" si="337"/>
        <v>23</v>
      </c>
      <c r="Q712" s="304">
        <f t="shared" ca="1" si="338"/>
        <v>0</v>
      </c>
      <c r="R712" s="306">
        <f t="shared" ca="1" si="339"/>
        <v>0</v>
      </c>
      <c r="S712" s="307">
        <f t="shared" ca="1" si="340"/>
        <v>7.4799999999999969</v>
      </c>
      <c r="T712" s="304">
        <f t="shared" ca="1" si="320"/>
        <v>73.37879999999997</v>
      </c>
      <c r="U712" s="311">
        <f t="shared" ca="1" si="321"/>
        <v>0</v>
      </c>
      <c r="V712" s="306">
        <f t="shared" ca="1" si="322"/>
        <v>1.226297187936972</v>
      </c>
      <c r="W712" s="304">
        <f t="shared" ca="1" si="323"/>
        <v>57.963218631237389</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2.0188776415987038</v>
      </c>
      <c r="AH712" s="304">
        <f t="shared" ca="1" si="347"/>
        <v>-7.7490583481618911</v>
      </c>
    </row>
    <row r="713" spans="1:34" x14ac:dyDescent="0.2">
      <c r="A713" s="347">
        <f t="shared" ca="1" si="325"/>
        <v>1E-4</v>
      </c>
      <c r="B713" s="304">
        <f t="shared" ca="1" si="326"/>
        <v>34.718200000000827</v>
      </c>
      <c r="D713" s="306">
        <f t="shared" ca="1" si="327"/>
        <v>-0.71683169904292432</v>
      </c>
      <c r="E713" s="307">
        <f t="shared" ca="1" si="328"/>
        <v>-2.0941331766553439</v>
      </c>
      <c r="F713" s="304">
        <f t="shared" ca="1" si="329"/>
        <v>2.2134230156753514</v>
      </c>
      <c r="G713" s="306">
        <f t="shared" ca="1" si="330"/>
        <v>11.291297627160958</v>
      </c>
      <c r="H713" s="307">
        <f t="shared" ca="1" si="331"/>
        <v>-121.53878250939536</v>
      </c>
      <c r="I713" s="304">
        <f t="shared" ca="1" si="332"/>
        <v>122.06215243051894</v>
      </c>
      <c r="J713" s="306">
        <f t="shared" ca="1" si="333"/>
        <v>786.02923903053897</v>
      </c>
      <c r="K713" s="307">
        <f t="shared" ca="1" si="334"/>
        <v>-10.595839463762898</v>
      </c>
      <c r="L713" s="304">
        <f t="shared" ca="1" si="319"/>
        <v>786.10065285869723</v>
      </c>
      <c r="M713" s="306">
        <f t="shared" ca="1" si="335"/>
        <v>-1.4781593942618225</v>
      </c>
      <c r="N713" s="304">
        <f t="shared" ca="1" si="336"/>
        <v>-84.692294738816713</v>
      </c>
      <c r="P713" s="310">
        <f t="shared" ca="1" si="337"/>
        <v>23</v>
      </c>
      <c r="Q713" s="304">
        <f t="shared" ca="1" si="338"/>
        <v>0</v>
      </c>
      <c r="R713" s="306">
        <f t="shared" ca="1" si="339"/>
        <v>0</v>
      </c>
      <c r="S713" s="307">
        <f t="shared" ca="1" si="340"/>
        <v>7.4799999999999969</v>
      </c>
      <c r="T713" s="304">
        <f t="shared" ca="1" si="320"/>
        <v>73.37879999999997</v>
      </c>
      <c r="U713" s="311">
        <f t="shared" ca="1" si="321"/>
        <v>0</v>
      </c>
      <c r="V713" s="306">
        <f t="shared" ca="1" si="322"/>
        <v>1.226298678363684</v>
      </c>
      <c r="W713" s="304">
        <f t="shared" ca="1" si="323"/>
        <v>57.963480815949239</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2.0188432645389698</v>
      </c>
      <c r="AH713" s="304">
        <f t="shared" ca="1" si="347"/>
        <v>-7.74909339989805</v>
      </c>
    </row>
    <row r="714" spans="1:34" x14ac:dyDescent="0.2">
      <c r="A714" s="347">
        <f t="shared" ca="1" si="325"/>
        <v>1E-4</v>
      </c>
      <c r="B714" s="304">
        <f t="shared" ca="1" si="326"/>
        <v>34.718300000000831</v>
      </c>
      <c r="D714" s="306">
        <f t="shared" ca="1" si="327"/>
        <v>-0.71682920506317749</v>
      </c>
      <c r="E714" s="307">
        <f t="shared" ca="1" si="328"/>
        <v>-2.0940977425849701</v>
      </c>
      <c r="F714" s="304">
        <f t="shared" ca="1" si="329"/>
        <v>2.2133886836095855</v>
      </c>
      <c r="G714" s="306">
        <f t="shared" ca="1" si="330"/>
        <v>11.291225944240452</v>
      </c>
      <c r="H714" s="307">
        <f t="shared" ca="1" si="331"/>
        <v>-121.53899191916962</v>
      </c>
      <c r="I714" s="304">
        <f t="shared" ca="1" si="332"/>
        <v>122.06235431144144</v>
      </c>
      <c r="J714" s="306">
        <f t="shared" ca="1" si="333"/>
        <v>786.02923903053897</v>
      </c>
      <c r="K714" s="307">
        <f t="shared" ca="1" si="334"/>
        <v>-10.607993352484327</v>
      </c>
      <c r="L714" s="304">
        <f t="shared" ca="1" si="319"/>
        <v>786.10081677472806</v>
      </c>
      <c r="M714" s="306">
        <f t="shared" ca="1" si="335"/>
        <v>-1.4781601377089646</v>
      </c>
      <c r="N714" s="304">
        <f t="shared" ca="1" si="336"/>
        <v>-84.692337335200236</v>
      </c>
      <c r="P714" s="310">
        <f t="shared" ca="1" si="337"/>
        <v>23</v>
      </c>
      <c r="Q714" s="304">
        <f t="shared" ca="1" si="338"/>
        <v>0</v>
      </c>
      <c r="R714" s="306">
        <f t="shared" ca="1" si="339"/>
        <v>0</v>
      </c>
      <c r="S714" s="307">
        <f t="shared" ca="1" si="340"/>
        <v>7.4799999999999969</v>
      </c>
      <c r="T714" s="304">
        <f t="shared" ca="1" si="320"/>
        <v>73.37879999999997</v>
      </c>
      <c r="U714" s="311">
        <f t="shared" ca="1" si="321"/>
        <v>0</v>
      </c>
      <c r="V714" s="306">
        <f t="shared" ca="1" si="322"/>
        <v>1.2263001687947761</v>
      </c>
      <c r="W714" s="304">
        <f t="shared" ca="1" si="323"/>
        <v>57.963742998386401</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2.0188088877714154</v>
      </c>
      <c r="AH714" s="304">
        <f t="shared" ca="1" si="347"/>
        <v>-7.7491284513301153</v>
      </c>
    </row>
    <row r="715" spans="1:34" x14ac:dyDescent="0.2">
      <c r="A715" s="347">
        <f t="shared" ca="1" si="325"/>
        <v>1E-4</v>
      </c>
      <c r="B715" s="304">
        <f t="shared" ca="1" si="326"/>
        <v>34.718400000000834</v>
      </c>
      <c r="D715" s="306">
        <f t="shared" ca="1" si="327"/>
        <v>-0.71682671105840134</v>
      </c>
      <c r="E715" s="307">
        <f t="shared" ca="1" si="328"/>
        <v>-2.0940623088219841</v>
      </c>
      <c r="F715" s="304">
        <f t="shared" ca="1" si="329"/>
        <v>2.2133543518640804</v>
      </c>
      <c r="G715" s="306">
        <f t="shared" ca="1" si="330"/>
        <v>11.291154261569346</v>
      </c>
      <c r="H715" s="307">
        <f t="shared" ca="1" si="331"/>
        <v>-121.5392013254005</v>
      </c>
      <c r="I715" s="304">
        <f t="shared" ca="1" si="332"/>
        <v>122.06255618892629</v>
      </c>
      <c r="J715" s="306">
        <f t="shared" ca="1" si="333"/>
        <v>786.02923903053897</v>
      </c>
      <c r="K715" s="307">
        <f t="shared" ca="1" si="334"/>
        <v>-10.620147262146554</v>
      </c>
      <c r="L715" s="304">
        <f t="shared" ca="1" si="319"/>
        <v>786.10098087891856</v>
      </c>
      <c r="M715" s="306">
        <f t="shared" ca="1" si="335"/>
        <v>-1.4781608811489275</v>
      </c>
      <c r="N715" s="304">
        <f t="shared" ca="1" si="336"/>
        <v>-84.692379931172439</v>
      </c>
      <c r="P715" s="310">
        <f t="shared" ca="1" si="337"/>
        <v>23</v>
      </c>
      <c r="Q715" s="304">
        <f t="shared" ca="1" si="338"/>
        <v>0</v>
      </c>
      <c r="R715" s="306">
        <f t="shared" ca="1" si="339"/>
        <v>0</v>
      </c>
      <c r="S715" s="307">
        <f t="shared" ca="1" si="340"/>
        <v>7.4799999999999969</v>
      </c>
      <c r="T715" s="304">
        <f t="shared" ca="1" si="320"/>
        <v>73.37879999999997</v>
      </c>
      <c r="U715" s="311">
        <f t="shared" ca="1" si="321"/>
        <v>0</v>
      </c>
      <c r="V715" s="306">
        <f t="shared" ca="1" si="322"/>
        <v>1.2263016592302487</v>
      </c>
      <c r="W715" s="304">
        <f t="shared" ca="1" si="323"/>
        <v>57.964005178548916</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2.0187745112960513</v>
      </c>
      <c r="AH715" s="304">
        <f t="shared" ca="1" si="347"/>
        <v>-7.7491635024580781</v>
      </c>
    </row>
    <row r="716" spans="1:34" x14ac:dyDescent="0.2">
      <c r="A716" s="347">
        <f t="shared" ca="1" si="325"/>
        <v>1E-4</v>
      </c>
      <c r="B716" s="304">
        <f t="shared" ca="1" si="326"/>
        <v>34.718500000000837</v>
      </c>
      <c r="D716" s="306">
        <f t="shared" ca="1" si="327"/>
        <v>-0.71682421702859922</v>
      </c>
      <c r="E716" s="307">
        <f t="shared" ca="1" si="328"/>
        <v>-2.0940268753663815</v>
      </c>
      <c r="F716" s="304">
        <f t="shared" ca="1" si="329"/>
        <v>2.2133200204388328</v>
      </c>
      <c r="G716" s="306">
        <f t="shared" ca="1" si="330"/>
        <v>11.291082579147643</v>
      </c>
      <c r="H716" s="307">
        <f t="shared" ca="1" si="331"/>
        <v>-121.53941072808803</v>
      </c>
      <c r="I716" s="304">
        <f t="shared" ca="1" si="332"/>
        <v>122.06275806297354</v>
      </c>
      <c r="J716" s="306">
        <f t="shared" ca="1" si="333"/>
        <v>786.02923903053897</v>
      </c>
      <c r="K716" s="307">
        <f t="shared" ca="1" si="334"/>
        <v>-10.632301192749228</v>
      </c>
      <c r="L716" s="304">
        <f t="shared" ca="1" si="319"/>
        <v>786.10114517126965</v>
      </c>
      <c r="M716" s="306">
        <f t="shared" ca="1" si="335"/>
        <v>-1.4781616245817117</v>
      </c>
      <c r="N716" s="304">
        <f t="shared" ca="1" si="336"/>
        <v>-84.692422526733324</v>
      </c>
      <c r="P716" s="310">
        <f t="shared" ca="1" si="337"/>
        <v>23</v>
      </c>
      <c r="Q716" s="304">
        <f t="shared" ca="1" si="338"/>
        <v>0</v>
      </c>
      <c r="R716" s="306">
        <f t="shared" ca="1" si="339"/>
        <v>0</v>
      </c>
      <c r="S716" s="307">
        <f t="shared" ca="1" si="340"/>
        <v>7.4799999999999969</v>
      </c>
      <c r="T716" s="304">
        <f t="shared" ca="1" si="320"/>
        <v>73.37879999999997</v>
      </c>
      <c r="U716" s="311">
        <f t="shared" ca="1" si="321"/>
        <v>0</v>
      </c>
      <c r="V716" s="306">
        <f t="shared" ca="1" si="322"/>
        <v>1.2263031496701013</v>
      </c>
      <c r="W716" s="304">
        <f t="shared" ca="1" si="323"/>
        <v>57.964267356436785</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2.0187401351128686</v>
      </c>
      <c r="AH716" s="304">
        <f t="shared" ca="1" si="347"/>
        <v>-7.7491985532819436</v>
      </c>
    </row>
    <row r="717" spans="1:34" x14ac:dyDescent="0.2">
      <c r="A717" s="347">
        <f t="shared" ca="1" si="325"/>
        <v>1E-4</v>
      </c>
      <c r="B717" s="304">
        <f t="shared" ca="1" si="326"/>
        <v>34.718600000000841</v>
      </c>
      <c r="D717" s="306">
        <f t="shared" ca="1" si="327"/>
        <v>-0.71682172297376934</v>
      </c>
      <c r="E717" s="307">
        <f t="shared" ca="1" si="328"/>
        <v>-2.0939914422181598</v>
      </c>
      <c r="F717" s="304">
        <f t="shared" ca="1" si="329"/>
        <v>2.2132856893338402</v>
      </c>
      <c r="G717" s="306">
        <f t="shared" ca="1" si="330"/>
        <v>11.291010896975346</v>
      </c>
      <c r="H717" s="307">
        <f t="shared" ca="1" si="331"/>
        <v>-121.53962012723225</v>
      </c>
      <c r="I717" s="304">
        <f t="shared" ca="1" si="332"/>
        <v>122.06295993358319</v>
      </c>
      <c r="J717" s="306">
        <f t="shared" ca="1" si="333"/>
        <v>786.02923903053897</v>
      </c>
      <c r="K717" s="307">
        <f t="shared" ca="1" si="334"/>
        <v>-10.644455144291994</v>
      </c>
      <c r="L717" s="304">
        <f t="shared" ca="1" si="319"/>
        <v>786.10130965178212</v>
      </c>
      <c r="M717" s="306">
        <f t="shared" ca="1" si="335"/>
        <v>-1.4781623680073173</v>
      </c>
      <c r="N717" s="304">
        <f t="shared" ca="1" si="336"/>
        <v>-84.692465121882904</v>
      </c>
      <c r="P717" s="310">
        <f t="shared" ca="1" si="337"/>
        <v>23</v>
      </c>
      <c r="Q717" s="304">
        <f t="shared" ca="1" si="338"/>
        <v>0</v>
      </c>
      <c r="R717" s="306">
        <f t="shared" ca="1" si="339"/>
        <v>0</v>
      </c>
      <c r="S717" s="307">
        <f t="shared" ca="1" si="340"/>
        <v>7.4799999999999969</v>
      </c>
      <c r="T717" s="304">
        <f t="shared" ca="1" si="320"/>
        <v>73.37879999999997</v>
      </c>
      <c r="U717" s="311">
        <f t="shared" ca="1" si="321"/>
        <v>0</v>
      </c>
      <c r="V717" s="306">
        <f t="shared" ca="1" si="322"/>
        <v>1.2263046401143345</v>
      </c>
      <c r="W717" s="304">
        <f t="shared" ca="1" si="323"/>
        <v>57.96452953204998</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2.01870575922187</v>
      </c>
      <c r="AH717" s="304">
        <f t="shared" ca="1" si="347"/>
        <v>-7.7492336038017129</v>
      </c>
    </row>
    <row r="718" spans="1:34" x14ac:dyDescent="0.2">
      <c r="A718" s="347">
        <f t="shared" ca="1" si="325"/>
        <v>1E-4</v>
      </c>
      <c r="B718" s="304">
        <f t="shared" ca="1" si="326"/>
        <v>34.718700000000844</v>
      </c>
      <c r="D718" s="306">
        <f t="shared" ca="1" si="327"/>
        <v>-0.71681922889391259</v>
      </c>
      <c r="E718" s="307">
        <f t="shared" ca="1" si="328"/>
        <v>-2.0939560093773268</v>
      </c>
      <c r="F718" s="304">
        <f t="shared" ca="1" si="329"/>
        <v>2.2132513585491105</v>
      </c>
      <c r="G718" s="306">
        <f t="shared" ca="1" si="330"/>
        <v>11.290939215052456</v>
      </c>
      <c r="H718" s="307">
        <f t="shared" ca="1" si="331"/>
        <v>-121.53982952283319</v>
      </c>
      <c r="I718" s="304">
        <f t="shared" ca="1" si="332"/>
        <v>122.06316180075528</v>
      </c>
      <c r="J718" s="306">
        <f t="shared" ca="1" si="333"/>
        <v>786.02923903053897</v>
      </c>
      <c r="K718" s="307">
        <f t="shared" ca="1" si="334"/>
        <v>-10.656609116774497</v>
      </c>
      <c r="L718" s="304">
        <f t="shared" ca="1" si="319"/>
        <v>786.10147432045687</v>
      </c>
      <c r="M718" s="306">
        <f t="shared" ca="1" si="335"/>
        <v>-1.4781631114257441</v>
      </c>
      <c r="N718" s="304">
        <f t="shared" ca="1" si="336"/>
        <v>-84.692507716621165</v>
      </c>
      <c r="P718" s="310">
        <f t="shared" ca="1" si="337"/>
        <v>23</v>
      </c>
      <c r="Q718" s="304">
        <f t="shared" ca="1" si="338"/>
        <v>0</v>
      </c>
      <c r="R718" s="306">
        <f t="shared" ca="1" si="339"/>
        <v>0</v>
      </c>
      <c r="S718" s="307">
        <f t="shared" ca="1" si="340"/>
        <v>7.4799999999999969</v>
      </c>
      <c r="T718" s="304">
        <f t="shared" ca="1" si="320"/>
        <v>73.37879999999997</v>
      </c>
      <c r="U718" s="311">
        <f t="shared" ca="1" si="321"/>
        <v>0</v>
      </c>
      <c r="V718" s="306">
        <f t="shared" ca="1" si="322"/>
        <v>1.2263061305629481</v>
      </c>
      <c r="W718" s="304">
        <f t="shared" ca="1" si="323"/>
        <v>57.964791705388556</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2.0186713836230625</v>
      </c>
      <c r="AH718" s="304">
        <f t="shared" ca="1" si="347"/>
        <v>-7.7492686540173805</v>
      </c>
    </row>
    <row r="719" spans="1:34" x14ac:dyDescent="0.2">
      <c r="A719" s="347">
        <f t="shared" ca="1" si="325"/>
        <v>1E-4</v>
      </c>
      <c r="B719" s="304">
        <f t="shared" ca="1" si="326"/>
        <v>34.718800000000847</v>
      </c>
      <c r="D719" s="306">
        <f t="shared" ca="1" si="327"/>
        <v>-0.7168167347890313</v>
      </c>
      <c r="E719" s="307">
        <f t="shared" ca="1" si="328"/>
        <v>-2.093920576843872</v>
      </c>
      <c r="F719" s="304">
        <f t="shared" ca="1" si="329"/>
        <v>2.2132170280846344</v>
      </c>
      <c r="G719" s="306">
        <f t="shared" ca="1" si="330"/>
        <v>11.290867533378977</v>
      </c>
      <c r="H719" s="307">
        <f t="shared" ca="1" si="331"/>
        <v>-121.54003891489087</v>
      </c>
      <c r="I719" s="304">
        <f t="shared" ca="1" si="332"/>
        <v>122.06336366448984</v>
      </c>
      <c r="J719" s="306">
        <f t="shared" ca="1" si="333"/>
        <v>786.02923903053897</v>
      </c>
      <c r="K719" s="307">
        <f t="shared" ca="1" si="334"/>
        <v>-10.668763110196384</v>
      </c>
      <c r="L719" s="304">
        <f t="shared" ca="1" si="319"/>
        <v>786.10163917729471</v>
      </c>
      <c r="M719" s="306">
        <f t="shared" ca="1" si="335"/>
        <v>-1.4781638548369922</v>
      </c>
      <c r="N719" s="304">
        <f t="shared" ca="1" si="336"/>
        <v>-84.692550310948135</v>
      </c>
      <c r="P719" s="310">
        <f t="shared" ca="1" si="337"/>
        <v>23</v>
      </c>
      <c r="Q719" s="304">
        <f t="shared" ca="1" si="338"/>
        <v>0</v>
      </c>
      <c r="R719" s="306">
        <f t="shared" ca="1" si="339"/>
        <v>0</v>
      </c>
      <c r="S719" s="307">
        <f t="shared" ca="1" si="340"/>
        <v>7.4799999999999969</v>
      </c>
      <c r="T719" s="304">
        <f t="shared" ca="1" si="320"/>
        <v>73.37879999999997</v>
      </c>
      <c r="U719" s="311">
        <f t="shared" ca="1" si="321"/>
        <v>0</v>
      </c>
      <c r="V719" s="306">
        <f t="shared" ca="1" si="322"/>
        <v>1.2263076210159418</v>
      </c>
      <c r="W719" s="304">
        <f t="shared" ca="1" si="323"/>
        <v>57.965053876452458</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2.0186370083164329</v>
      </c>
      <c r="AH719" s="304">
        <f t="shared" ca="1" si="347"/>
        <v>-7.7493037039289545</v>
      </c>
    </row>
    <row r="720" spans="1:34" x14ac:dyDescent="0.2">
      <c r="A720" s="347">
        <f t="shared" ca="1" si="325"/>
        <v>1E-4</v>
      </c>
      <c r="B720" s="304">
        <f t="shared" ca="1" si="326"/>
        <v>34.718900000000851</v>
      </c>
      <c r="D720" s="306">
        <f t="shared" ca="1" si="327"/>
        <v>-0.71681424065912602</v>
      </c>
      <c r="E720" s="307">
        <f t="shared" ca="1" si="328"/>
        <v>-2.0938851446178051</v>
      </c>
      <c r="F720" s="304">
        <f t="shared" ca="1" si="329"/>
        <v>2.2131826979404221</v>
      </c>
      <c r="G720" s="306">
        <f t="shared" ca="1" si="330"/>
        <v>11.290795851954911</v>
      </c>
      <c r="H720" s="307">
        <f t="shared" ca="1" si="331"/>
        <v>-121.54024830340533</v>
      </c>
      <c r="I720" s="304">
        <f t="shared" ca="1" si="332"/>
        <v>122.06356552478691</v>
      </c>
      <c r="J720" s="306">
        <f t="shared" ca="1" si="333"/>
        <v>786.02923903053897</v>
      </c>
      <c r="K720" s="307">
        <f t="shared" ca="1" si="334"/>
        <v>-10.680917124557299</v>
      </c>
      <c r="L720" s="304">
        <f t="shared" ca="1" si="319"/>
        <v>786.10180422229655</v>
      </c>
      <c r="M720" s="306">
        <f t="shared" ca="1" si="335"/>
        <v>-1.4781645982410621</v>
      </c>
      <c r="N720" s="304">
        <f t="shared" ca="1" si="336"/>
        <v>-84.692592904863801</v>
      </c>
      <c r="P720" s="310">
        <f t="shared" ca="1" si="337"/>
        <v>23</v>
      </c>
      <c r="Q720" s="304">
        <f t="shared" ca="1" si="338"/>
        <v>0</v>
      </c>
      <c r="R720" s="306">
        <f t="shared" ca="1" si="339"/>
        <v>0</v>
      </c>
      <c r="S720" s="307">
        <f t="shared" ca="1" si="340"/>
        <v>7.4799999999999969</v>
      </c>
      <c r="T720" s="304">
        <f t="shared" ca="1" si="320"/>
        <v>73.37879999999997</v>
      </c>
      <c r="U720" s="311">
        <f t="shared" ca="1" si="321"/>
        <v>0</v>
      </c>
      <c r="V720" s="306">
        <f t="shared" ca="1" si="322"/>
        <v>1.2263091114733162</v>
      </c>
      <c r="W720" s="304">
        <f t="shared" ca="1" si="323"/>
        <v>57.965316045241742</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2.0186026333019935</v>
      </c>
      <c r="AH720" s="304">
        <f t="shared" ca="1" si="347"/>
        <v>-7.7493387535364278</v>
      </c>
    </row>
    <row r="721" spans="1:34" x14ac:dyDescent="0.2">
      <c r="A721" s="347">
        <f t="shared" ca="1" si="325"/>
        <v>1E-4</v>
      </c>
      <c r="B721" s="304">
        <f t="shared" ca="1" si="326"/>
        <v>34.719000000000854</v>
      </c>
      <c r="D721" s="306">
        <f t="shared" ca="1" si="327"/>
        <v>-0.71681174650419566</v>
      </c>
      <c r="E721" s="307">
        <f t="shared" ca="1" si="328"/>
        <v>-2.0938497126991162</v>
      </c>
      <c r="F721" s="304">
        <f t="shared" ca="1" si="329"/>
        <v>2.2131483681164639</v>
      </c>
      <c r="G721" s="306">
        <f t="shared" ca="1" si="330"/>
        <v>11.29072417078026</v>
      </c>
      <c r="H721" s="307">
        <f t="shared" ca="1" si="331"/>
        <v>-121.54045768837661</v>
      </c>
      <c r="I721" s="304">
        <f t="shared" ca="1" si="332"/>
        <v>122.06376738164649</v>
      </c>
      <c r="J721" s="306">
        <f t="shared" ca="1" si="333"/>
        <v>786.02923903053897</v>
      </c>
      <c r="K721" s="307">
        <f t="shared" ca="1" si="334"/>
        <v>-10.693071159856888</v>
      </c>
      <c r="L721" s="304">
        <f t="shared" ca="1" si="319"/>
        <v>786.10196945546318</v>
      </c>
      <c r="M721" s="306">
        <f t="shared" ca="1" si="335"/>
        <v>-1.4781653416379537</v>
      </c>
      <c r="N721" s="304">
        <f t="shared" ca="1" si="336"/>
        <v>-84.692635498368205</v>
      </c>
      <c r="P721" s="310">
        <f t="shared" ca="1" si="337"/>
        <v>23</v>
      </c>
      <c r="Q721" s="304">
        <f t="shared" ca="1" si="338"/>
        <v>0</v>
      </c>
      <c r="R721" s="306">
        <f t="shared" ca="1" si="339"/>
        <v>0</v>
      </c>
      <c r="S721" s="307">
        <f t="shared" ca="1" si="340"/>
        <v>7.4799999999999969</v>
      </c>
      <c r="T721" s="304">
        <f t="shared" ca="1" si="320"/>
        <v>73.37879999999997</v>
      </c>
      <c r="U721" s="311">
        <f t="shared" ca="1" si="321"/>
        <v>0</v>
      </c>
      <c r="V721" s="306">
        <f t="shared" ca="1" si="322"/>
        <v>1.2263106019350705</v>
      </c>
      <c r="W721" s="304">
        <f t="shared" ca="1" si="323"/>
        <v>57.965578211756352</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2.0185682585797347</v>
      </c>
      <c r="AH721" s="304">
        <f t="shared" ca="1" si="347"/>
        <v>-7.7493738028398083</v>
      </c>
    </row>
    <row r="722" spans="1:34" x14ac:dyDescent="0.2">
      <c r="A722" s="347">
        <f t="shared" ca="1" si="325"/>
        <v>1E-4</v>
      </c>
      <c r="B722" s="304">
        <f t="shared" ca="1" si="326"/>
        <v>34.719100000000857</v>
      </c>
      <c r="D722" s="306">
        <f t="shared" ca="1" si="327"/>
        <v>-0.71680925232424086</v>
      </c>
      <c r="E722" s="307">
        <f t="shared" ca="1" si="328"/>
        <v>-2.0938142810878135</v>
      </c>
      <c r="F722" s="304">
        <f t="shared" ca="1" si="329"/>
        <v>2.2131140386127677</v>
      </c>
      <c r="G722" s="306">
        <f t="shared" ca="1" si="330"/>
        <v>11.290652489855027</v>
      </c>
      <c r="H722" s="307">
        <f t="shared" ca="1" si="331"/>
        <v>-121.54066706980471</v>
      </c>
      <c r="I722" s="304">
        <f t="shared" ca="1" si="332"/>
        <v>122.06396923506863</v>
      </c>
      <c r="J722" s="306">
        <f t="shared" ca="1" si="333"/>
        <v>786.02923903053897</v>
      </c>
      <c r="K722" s="307">
        <f t="shared" ca="1" si="334"/>
        <v>-10.705225216094798</v>
      </c>
      <c r="L722" s="304">
        <f t="shared" ca="1" si="319"/>
        <v>786.1021348767955</v>
      </c>
      <c r="M722" s="306">
        <f t="shared" ca="1" si="335"/>
        <v>-1.478166085027667</v>
      </c>
      <c r="N722" s="304">
        <f t="shared" ca="1" si="336"/>
        <v>-84.692678091461303</v>
      </c>
      <c r="P722" s="310">
        <f t="shared" ca="1" si="337"/>
        <v>23</v>
      </c>
      <c r="Q722" s="304">
        <f t="shared" ca="1" si="338"/>
        <v>0</v>
      </c>
      <c r="R722" s="306">
        <f t="shared" ca="1" si="339"/>
        <v>0</v>
      </c>
      <c r="S722" s="307">
        <f t="shared" ca="1" si="340"/>
        <v>7.4799999999999969</v>
      </c>
      <c r="T722" s="304">
        <f t="shared" ca="1" si="320"/>
        <v>73.37879999999997</v>
      </c>
      <c r="U722" s="311">
        <f t="shared" ca="1" si="321"/>
        <v>0</v>
      </c>
      <c r="V722" s="306">
        <f t="shared" ca="1" si="322"/>
        <v>1.2263120924012045</v>
      </c>
      <c r="W722" s="304">
        <f t="shared" ca="1" si="323"/>
        <v>57.965840375996301</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2.0185338841496625</v>
      </c>
      <c r="AH722" s="304">
        <f t="shared" ca="1" si="347"/>
        <v>-7.749408851839088</v>
      </c>
    </row>
    <row r="723" spans="1:34" x14ac:dyDescent="0.2">
      <c r="A723" s="347">
        <f t="shared" ca="1" si="325"/>
        <v>1E-4</v>
      </c>
      <c r="B723" s="304">
        <f t="shared" ca="1" si="326"/>
        <v>34.71920000000086</v>
      </c>
      <c r="D723" s="306">
        <f t="shared" ca="1" si="327"/>
        <v>-0.7168067581192632</v>
      </c>
      <c r="E723" s="307">
        <f t="shared" ca="1" si="328"/>
        <v>-2.0937788497838978</v>
      </c>
      <c r="F723" s="304">
        <f t="shared" ca="1" si="329"/>
        <v>2.2130797094293353</v>
      </c>
      <c r="G723" s="306">
        <f t="shared" ca="1" si="330"/>
        <v>11.290580809179215</v>
      </c>
      <c r="H723" s="307">
        <f t="shared" ca="1" si="331"/>
        <v>-121.5408764476897</v>
      </c>
      <c r="I723" s="304">
        <f t="shared" ca="1" si="332"/>
        <v>122.06417108505336</v>
      </c>
      <c r="J723" s="306">
        <f t="shared" ca="1" si="333"/>
        <v>786.02923903053897</v>
      </c>
      <c r="K723" s="307">
        <f t="shared" ca="1" si="334"/>
        <v>-10.717379293270673</v>
      </c>
      <c r="L723" s="304">
        <f t="shared" ca="1" si="319"/>
        <v>786.10230048629421</v>
      </c>
      <c r="M723" s="306">
        <f t="shared" ca="1" si="335"/>
        <v>-1.4781668284102021</v>
      </c>
      <c r="N723" s="304">
        <f t="shared" ca="1" si="336"/>
        <v>-84.692720684143126</v>
      </c>
      <c r="P723" s="310">
        <f t="shared" ca="1" si="337"/>
        <v>23</v>
      </c>
      <c r="Q723" s="304">
        <f t="shared" ca="1" si="338"/>
        <v>0</v>
      </c>
      <c r="R723" s="306">
        <f t="shared" ca="1" si="339"/>
        <v>0</v>
      </c>
      <c r="S723" s="307">
        <f t="shared" ca="1" si="340"/>
        <v>7.4799999999999969</v>
      </c>
      <c r="T723" s="304">
        <f t="shared" ca="1" si="320"/>
        <v>73.37879999999997</v>
      </c>
      <c r="U723" s="311">
        <f t="shared" ca="1" si="321"/>
        <v>0</v>
      </c>
      <c r="V723" s="306">
        <f t="shared" ca="1" si="322"/>
        <v>1.2263135828717191</v>
      </c>
      <c r="W723" s="304">
        <f t="shared" ca="1" si="323"/>
        <v>57.966102537961632</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2.0184995100117797</v>
      </c>
      <c r="AH723" s="304">
        <f t="shared" ca="1" si="347"/>
        <v>-7.7494439005342679</v>
      </c>
    </row>
    <row r="724" spans="1:34" x14ac:dyDescent="0.2">
      <c r="A724" s="347">
        <f t="shared" ca="1" si="325"/>
        <v>1E-4</v>
      </c>
      <c r="B724" s="304">
        <f t="shared" ca="1" si="326"/>
        <v>34.719300000000864</v>
      </c>
      <c r="D724" s="306">
        <f t="shared" ca="1" si="327"/>
        <v>-0.71680426388926477</v>
      </c>
      <c r="E724" s="307">
        <f t="shared" ca="1" si="328"/>
        <v>-2.0937434187873594</v>
      </c>
      <c r="F724" s="304">
        <f t="shared" ca="1" si="329"/>
        <v>2.2130453805661578</v>
      </c>
      <c r="G724" s="306">
        <f t="shared" ca="1" si="330"/>
        <v>11.290509128752825</v>
      </c>
      <c r="H724" s="307">
        <f t="shared" ca="1" si="331"/>
        <v>-121.54108582203158</v>
      </c>
      <c r="I724" s="304">
        <f t="shared" ca="1" si="332"/>
        <v>122.06437293160072</v>
      </c>
      <c r="J724" s="306">
        <f t="shared" ca="1" si="333"/>
        <v>786.02923903053897</v>
      </c>
      <c r="K724" s="307">
        <f t="shared" ca="1" si="334"/>
        <v>-10.729533391384159</v>
      </c>
      <c r="L724" s="304">
        <f t="shared" ca="1" si="319"/>
        <v>786.10246628396033</v>
      </c>
      <c r="M724" s="306">
        <f t="shared" ca="1" si="335"/>
        <v>-1.4781675717855591</v>
      </c>
      <c r="N724" s="304">
        <f t="shared" ca="1" si="336"/>
        <v>-84.692763276413686</v>
      </c>
      <c r="P724" s="310">
        <f t="shared" ca="1" si="337"/>
        <v>23</v>
      </c>
      <c r="Q724" s="304">
        <f t="shared" ca="1" si="338"/>
        <v>0</v>
      </c>
      <c r="R724" s="306">
        <f t="shared" ca="1" si="339"/>
        <v>0</v>
      </c>
      <c r="S724" s="307">
        <f t="shared" ca="1" si="340"/>
        <v>7.4799999999999969</v>
      </c>
      <c r="T724" s="304">
        <f t="shared" ca="1" si="320"/>
        <v>73.37879999999997</v>
      </c>
      <c r="U724" s="311">
        <f t="shared" ca="1" si="321"/>
        <v>0</v>
      </c>
      <c r="V724" s="306">
        <f t="shared" ca="1" si="322"/>
        <v>1.2263150733466137</v>
      </c>
      <c r="W724" s="304">
        <f t="shared" ca="1" si="323"/>
        <v>57.966364697652331</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2.0184651361660793</v>
      </c>
      <c r="AH724" s="304">
        <f t="shared" ca="1" si="347"/>
        <v>-7.749478948925355</v>
      </c>
    </row>
    <row r="725" spans="1:34" x14ac:dyDescent="0.2">
      <c r="A725" s="347">
        <f t="shared" ca="1" si="325"/>
        <v>1E-4</v>
      </c>
      <c r="B725" s="304">
        <f t="shared" ca="1" si="326"/>
        <v>34.719400000000867</v>
      </c>
      <c r="D725" s="306">
        <f t="shared" ca="1" si="327"/>
        <v>-0.7168017696342448</v>
      </c>
      <c r="E725" s="307">
        <f t="shared" ca="1" si="328"/>
        <v>-2.0937079880982026</v>
      </c>
      <c r="F725" s="304">
        <f t="shared" ca="1" si="329"/>
        <v>2.2130110520232402</v>
      </c>
      <c r="G725" s="306">
        <f t="shared" ca="1" si="330"/>
        <v>11.290437448575862</v>
      </c>
      <c r="H725" s="307">
        <f t="shared" ca="1" si="331"/>
        <v>-121.54129519283039</v>
      </c>
      <c r="I725" s="304">
        <f t="shared" ca="1" si="332"/>
        <v>122.06457477471069</v>
      </c>
      <c r="J725" s="306">
        <f t="shared" ca="1" si="333"/>
        <v>786.02923903053897</v>
      </c>
      <c r="K725" s="307">
        <f t="shared" ca="1" si="334"/>
        <v>-10.741687510434902</v>
      </c>
      <c r="L725" s="304">
        <f t="shared" ca="1" si="319"/>
        <v>786.10263226979464</v>
      </c>
      <c r="M725" s="306">
        <f t="shared" ca="1" si="335"/>
        <v>-1.4781683151537384</v>
      </c>
      <c r="N725" s="304">
        <f t="shared" ca="1" si="336"/>
        <v>-84.692805868272984</v>
      </c>
      <c r="P725" s="310">
        <f t="shared" ca="1" si="337"/>
        <v>23</v>
      </c>
      <c r="Q725" s="304">
        <f t="shared" ca="1" si="338"/>
        <v>0</v>
      </c>
      <c r="R725" s="306">
        <f t="shared" ca="1" si="339"/>
        <v>0</v>
      </c>
      <c r="S725" s="307">
        <f t="shared" ca="1" si="340"/>
        <v>7.4799999999999969</v>
      </c>
      <c r="T725" s="304">
        <f t="shared" ca="1" si="320"/>
        <v>73.37879999999997</v>
      </c>
      <c r="U725" s="311">
        <f t="shared" ca="1" si="321"/>
        <v>0</v>
      </c>
      <c r="V725" s="306">
        <f t="shared" ca="1" si="322"/>
        <v>1.2263165638258886</v>
      </c>
      <c r="W725" s="304">
        <f t="shared" ca="1" si="323"/>
        <v>57.96662685506837</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2.0184307626125637</v>
      </c>
      <c r="AH725" s="304">
        <f t="shared" ca="1" si="347"/>
        <v>-7.7495139970123468</v>
      </c>
    </row>
    <row r="726" spans="1:34" x14ac:dyDescent="0.2">
      <c r="A726" s="347">
        <f t="shared" ca="1" si="325"/>
        <v>1E-4</v>
      </c>
      <c r="B726" s="304">
        <f t="shared" ca="1" si="326"/>
        <v>34.71950000000087</v>
      </c>
      <c r="D726" s="306">
        <f t="shared" ca="1" si="327"/>
        <v>-0.71679927535420307</v>
      </c>
      <c r="E726" s="307">
        <f t="shared" ca="1" si="328"/>
        <v>-2.093672557716431</v>
      </c>
      <c r="F726" s="304">
        <f t="shared" ca="1" si="329"/>
        <v>2.2129767238005855</v>
      </c>
      <c r="G726" s="306">
        <f t="shared" ca="1" si="330"/>
        <v>11.290365768648327</v>
      </c>
      <c r="H726" s="307">
        <f t="shared" ca="1" si="331"/>
        <v>-121.54150456008617</v>
      </c>
      <c r="I726" s="304">
        <f t="shared" ca="1" si="332"/>
        <v>122.06477661438336</v>
      </c>
      <c r="J726" s="306">
        <f t="shared" ca="1" si="333"/>
        <v>786.02923903053897</v>
      </c>
      <c r="K726" s="307">
        <f t="shared" ca="1" si="334"/>
        <v>-10.753841650422547</v>
      </c>
      <c r="L726" s="304">
        <f t="shared" ca="1" si="319"/>
        <v>786.10279844379806</v>
      </c>
      <c r="M726" s="306">
        <f t="shared" ca="1" si="335"/>
        <v>-1.4781690585147398</v>
      </c>
      <c r="N726" s="304">
        <f t="shared" ca="1" si="336"/>
        <v>-84.69284845972102</v>
      </c>
      <c r="P726" s="310">
        <f t="shared" ca="1" si="337"/>
        <v>23</v>
      </c>
      <c r="Q726" s="304">
        <f t="shared" ca="1" si="338"/>
        <v>0</v>
      </c>
      <c r="R726" s="306">
        <f t="shared" ca="1" si="339"/>
        <v>0</v>
      </c>
      <c r="S726" s="307">
        <f t="shared" ca="1" si="340"/>
        <v>7.4799999999999969</v>
      </c>
      <c r="T726" s="304">
        <f t="shared" ca="1" si="320"/>
        <v>73.37879999999997</v>
      </c>
      <c r="U726" s="311">
        <f t="shared" ca="1" si="321"/>
        <v>0</v>
      </c>
      <c r="V726" s="306">
        <f t="shared" ca="1" si="322"/>
        <v>1.2263180543095431</v>
      </c>
      <c r="W726" s="304">
        <f t="shared" ca="1" si="323"/>
        <v>57.966889010209762</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2.0183963893512331</v>
      </c>
      <c r="AH726" s="304">
        <f t="shared" ca="1" si="347"/>
        <v>-7.7495490447952395</v>
      </c>
    </row>
    <row r="727" spans="1:34" x14ac:dyDescent="0.2">
      <c r="A727" s="347">
        <f t="shared" ca="1" si="325"/>
        <v>1E-4</v>
      </c>
      <c r="B727" s="304">
        <f t="shared" ca="1" si="326"/>
        <v>34.719600000000874</v>
      </c>
      <c r="D727" s="306">
        <f t="shared" ca="1" si="327"/>
        <v>-0.71679678104914091</v>
      </c>
      <c r="E727" s="307">
        <f t="shared" ca="1" si="328"/>
        <v>-2.0936371276420402</v>
      </c>
      <c r="F727" s="304">
        <f t="shared" ca="1" si="329"/>
        <v>2.2129423958981902</v>
      </c>
      <c r="G727" s="306">
        <f t="shared" ca="1" si="330"/>
        <v>11.290294088970223</v>
      </c>
      <c r="H727" s="307">
        <f t="shared" ca="1" si="331"/>
        <v>-121.54171392379894</v>
      </c>
      <c r="I727" s="304">
        <f t="shared" ca="1" si="332"/>
        <v>122.06497845061874</v>
      </c>
      <c r="J727" s="306">
        <f t="shared" ca="1" si="333"/>
        <v>786.02923903053897</v>
      </c>
      <c r="K727" s="307">
        <f t="shared" ca="1" si="334"/>
        <v>-10.765995811346741</v>
      </c>
      <c r="L727" s="304">
        <f t="shared" ca="1" si="319"/>
        <v>786.10296480597128</v>
      </c>
      <c r="M727" s="306">
        <f t="shared" ca="1" si="335"/>
        <v>-1.4781698018685636</v>
      </c>
      <c r="N727" s="304">
        <f t="shared" ca="1" si="336"/>
        <v>-84.692891050757808</v>
      </c>
      <c r="P727" s="310">
        <f t="shared" ca="1" si="337"/>
        <v>23</v>
      </c>
      <c r="Q727" s="304">
        <f t="shared" ca="1" si="338"/>
        <v>0</v>
      </c>
      <c r="R727" s="306">
        <f t="shared" ca="1" si="339"/>
        <v>0</v>
      </c>
      <c r="S727" s="307">
        <f t="shared" ca="1" si="340"/>
        <v>7.4799999999999969</v>
      </c>
      <c r="T727" s="304">
        <f t="shared" ca="1" si="320"/>
        <v>73.37879999999997</v>
      </c>
      <c r="U727" s="311">
        <f t="shared" ca="1" si="321"/>
        <v>0</v>
      </c>
      <c r="V727" s="306">
        <f t="shared" ca="1" si="322"/>
        <v>1.2263195447975783</v>
      </c>
      <c r="W727" s="304">
        <f t="shared" ca="1" si="323"/>
        <v>57.967151163076558</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2.0183620163820919</v>
      </c>
      <c r="AH727" s="304">
        <f t="shared" ca="1" si="347"/>
        <v>-7.749584092274036</v>
      </c>
    </row>
    <row r="728" spans="1:34" x14ac:dyDescent="0.2">
      <c r="A728" s="347">
        <f t="shared" ca="1" si="325"/>
        <v>1E-4</v>
      </c>
      <c r="B728" s="304">
        <f t="shared" ca="1" si="326"/>
        <v>34.719700000000877</v>
      </c>
      <c r="D728" s="306">
        <f t="shared" ca="1" si="327"/>
        <v>-0.71679428671905876</v>
      </c>
      <c r="E728" s="307">
        <f t="shared" ca="1" si="328"/>
        <v>-2.0936016978750285</v>
      </c>
      <c r="F728" s="304">
        <f t="shared" ca="1" si="329"/>
        <v>2.2129080683160534</v>
      </c>
      <c r="G728" s="306">
        <f t="shared" ca="1" si="330"/>
        <v>11.290222409541551</v>
      </c>
      <c r="H728" s="307">
        <f t="shared" ca="1" si="331"/>
        <v>-121.54192328396873</v>
      </c>
      <c r="I728" s="304">
        <f t="shared" ca="1" si="332"/>
        <v>122.06518028341684</v>
      </c>
      <c r="J728" s="306">
        <f t="shared" ca="1" si="333"/>
        <v>786.02923903053897</v>
      </c>
      <c r="K728" s="307">
        <f t="shared" ca="1" si="334"/>
        <v>-10.77814999320713</v>
      </c>
      <c r="L728" s="304">
        <f t="shared" ca="1" si="319"/>
        <v>786.10313135631532</v>
      </c>
      <c r="M728" s="306">
        <f t="shared" ca="1" si="335"/>
        <v>-1.4781705452152096</v>
      </c>
      <c r="N728" s="304">
        <f t="shared" ca="1" si="336"/>
        <v>-84.692933641383334</v>
      </c>
      <c r="P728" s="310">
        <f t="shared" ca="1" si="337"/>
        <v>23</v>
      </c>
      <c r="Q728" s="304">
        <f t="shared" ca="1" si="338"/>
        <v>0</v>
      </c>
      <c r="R728" s="306">
        <f t="shared" ca="1" si="339"/>
        <v>0</v>
      </c>
      <c r="S728" s="307">
        <f t="shared" ca="1" si="340"/>
        <v>7.4799999999999969</v>
      </c>
      <c r="T728" s="304">
        <f t="shared" ca="1" si="320"/>
        <v>73.37879999999997</v>
      </c>
      <c r="U728" s="311">
        <f t="shared" ca="1" si="321"/>
        <v>0</v>
      </c>
      <c r="V728" s="306">
        <f t="shared" ca="1" si="322"/>
        <v>1.2263210352899929</v>
      </c>
      <c r="W728" s="304">
        <f t="shared" ca="1" si="323"/>
        <v>57.967413313668672</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2.0183276437051267</v>
      </c>
      <c r="AH728" s="304">
        <f t="shared" ca="1" si="347"/>
        <v>-7.7496191394487406</v>
      </c>
    </row>
    <row r="729" spans="1:34" x14ac:dyDescent="0.2">
      <c r="A729" s="347">
        <f t="shared" ca="1" si="325"/>
        <v>1E-4</v>
      </c>
      <c r="B729" s="304">
        <f t="shared" ca="1" si="326"/>
        <v>34.71980000000088</v>
      </c>
      <c r="D729" s="306">
        <f t="shared" ca="1" si="327"/>
        <v>-0.71679179236395874</v>
      </c>
      <c r="E729" s="307">
        <f t="shared" ca="1" si="328"/>
        <v>-2.0935662684154028</v>
      </c>
      <c r="F729" s="304">
        <f t="shared" ca="1" si="329"/>
        <v>2.2128737410541821</v>
      </c>
      <c r="G729" s="306">
        <f t="shared" ca="1" si="330"/>
        <v>11.290150730362315</v>
      </c>
      <c r="H729" s="307">
        <f t="shared" ca="1" si="331"/>
        <v>-121.54213264059557</v>
      </c>
      <c r="I729" s="304">
        <f t="shared" ca="1" si="332"/>
        <v>122.06538211277768</v>
      </c>
      <c r="J729" s="306">
        <f t="shared" ca="1" si="333"/>
        <v>786.02923903053897</v>
      </c>
      <c r="K729" s="307">
        <f t="shared" ca="1" si="334"/>
        <v>-10.790304196003358</v>
      </c>
      <c r="L729" s="304">
        <f t="shared" ca="1" si="319"/>
        <v>786.10329809483085</v>
      </c>
      <c r="M729" s="306">
        <f t="shared" ca="1" si="335"/>
        <v>-1.4781712885546781</v>
      </c>
      <c r="N729" s="304">
        <f t="shared" ca="1" si="336"/>
        <v>-84.692976231597626</v>
      </c>
      <c r="P729" s="310">
        <f t="shared" ca="1" si="337"/>
        <v>23</v>
      </c>
      <c r="Q729" s="304">
        <f t="shared" ca="1" si="338"/>
        <v>0</v>
      </c>
      <c r="R729" s="306">
        <f t="shared" ca="1" si="339"/>
        <v>0</v>
      </c>
      <c r="S729" s="307">
        <f t="shared" ca="1" si="340"/>
        <v>7.4799999999999969</v>
      </c>
      <c r="T729" s="304">
        <f t="shared" ca="1" si="320"/>
        <v>73.37879999999997</v>
      </c>
      <c r="U729" s="311">
        <f t="shared" ca="1" si="321"/>
        <v>0</v>
      </c>
      <c r="V729" s="306">
        <f t="shared" ca="1" si="322"/>
        <v>1.2263225257867876</v>
      </c>
      <c r="W729" s="304">
        <f t="shared" ca="1" si="323"/>
        <v>57.967675461986154</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2.0182932713203572</v>
      </c>
      <c r="AH729" s="304">
        <f t="shared" ca="1" si="347"/>
        <v>-7.7496541863193444</v>
      </c>
    </row>
    <row r="730" spans="1:34" x14ac:dyDescent="0.2">
      <c r="A730" s="347">
        <f t="shared" ca="1" si="325"/>
        <v>1E-4</v>
      </c>
      <c r="B730" s="304">
        <f t="shared" ca="1" si="326"/>
        <v>34.719900000000884</v>
      </c>
      <c r="D730" s="306">
        <f t="shared" ca="1" si="327"/>
        <v>-0.71678929798384106</v>
      </c>
      <c r="E730" s="307">
        <f t="shared" ca="1" si="328"/>
        <v>-2.093530839263158</v>
      </c>
      <c r="F730" s="304">
        <f t="shared" ca="1" si="329"/>
        <v>2.212839414112572</v>
      </c>
      <c r="G730" s="306">
        <f t="shared" ca="1" si="330"/>
        <v>11.290079051432517</v>
      </c>
      <c r="H730" s="307">
        <f t="shared" ca="1" si="331"/>
        <v>-121.5423419936795</v>
      </c>
      <c r="I730" s="304">
        <f t="shared" ca="1" si="332"/>
        <v>122.06558393870134</v>
      </c>
      <c r="J730" s="306">
        <f t="shared" ca="1" si="333"/>
        <v>786.02923903053897</v>
      </c>
      <c r="K730" s="307">
        <f t="shared" ca="1" si="334"/>
        <v>-10.802458419735071</v>
      </c>
      <c r="L730" s="304">
        <f t="shared" ca="1" si="319"/>
        <v>786.1034650215189</v>
      </c>
      <c r="M730" s="306">
        <f t="shared" ca="1" si="335"/>
        <v>-1.4781720318869693</v>
      </c>
      <c r="N730" s="304">
        <f t="shared" ca="1" si="336"/>
        <v>-84.693018821400685</v>
      </c>
      <c r="P730" s="310">
        <f t="shared" ca="1" si="337"/>
        <v>23</v>
      </c>
      <c r="Q730" s="304">
        <f t="shared" ca="1" si="338"/>
        <v>0</v>
      </c>
      <c r="R730" s="306">
        <f t="shared" ca="1" si="339"/>
        <v>0</v>
      </c>
      <c r="S730" s="307">
        <f t="shared" ca="1" si="340"/>
        <v>7.4799999999999969</v>
      </c>
      <c r="T730" s="304">
        <f t="shared" ca="1" si="320"/>
        <v>73.37879999999997</v>
      </c>
      <c r="U730" s="311">
        <f t="shared" ca="1" si="321"/>
        <v>0</v>
      </c>
      <c r="V730" s="306">
        <f t="shared" ca="1" si="322"/>
        <v>1.2263240162879623</v>
      </c>
      <c r="W730" s="304">
        <f t="shared" ca="1" si="323"/>
        <v>57.967937608029018</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2.018258899227769</v>
      </c>
      <c r="AH730" s="304">
        <f t="shared" ca="1" si="347"/>
        <v>-7.7496892328858529</v>
      </c>
    </row>
    <row r="731" spans="1:34" x14ac:dyDescent="0.2">
      <c r="A731" s="347">
        <f t="shared" ca="1" si="325"/>
        <v>1E-4</v>
      </c>
      <c r="B731" s="304">
        <f t="shared" ca="1" si="326"/>
        <v>34.720000000000887</v>
      </c>
      <c r="D731" s="306">
        <f t="shared" ca="1" si="327"/>
        <v>-0.71678680357870406</v>
      </c>
      <c r="E731" s="307">
        <f t="shared" ca="1" si="328"/>
        <v>-2.093495410418293</v>
      </c>
      <c r="F731" s="304">
        <f t="shared" ca="1" si="329"/>
        <v>2.2128050874912217</v>
      </c>
      <c r="G731" s="306">
        <f t="shared" ca="1" si="330"/>
        <v>11.290007372752159</v>
      </c>
      <c r="H731" s="307">
        <f t="shared" ca="1" si="331"/>
        <v>-121.54255134322054</v>
      </c>
      <c r="I731" s="304">
        <f t="shared" ca="1" si="332"/>
        <v>122.0657857611878</v>
      </c>
      <c r="J731" s="306">
        <f t="shared" ca="1" si="333"/>
        <v>786.02923903053897</v>
      </c>
      <c r="K731" s="307">
        <f t="shared" ca="1" si="334"/>
        <v>-10.814612664401917</v>
      </c>
      <c r="L731" s="304">
        <f t="shared" ca="1" si="319"/>
        <v>786.10363213638016</v>
      </c>
      <c r="M731" s="306">
        <f t="shared" ca="1" si="335"/>
        <v>-1.478172775212083</v>
      </c>
      <c r="N731" s="304">
        <f t="shared" ca="1" si="336"/>
        <v>-84.693061410792509</v>
      </c>
      <c r="P731" s="310">
        <f t="shared" ca="1" si="337"/>
        <v>23</v>
      </c>
      <c r="Q731" s="304">
        <f t="shared" ca="1" si="338"/>
        <v>0</v>
      </c>
      <c r="R731" s="306">
        <f t="shared" ca="1" si="339"/>
        <v>0</v>
      </c>
      <c r="S731" s="307">
        <f t="shared" ca="1" si="340"/>
        <v>7.4799999999999969</v>
      </c>
      <c r="T731" s="304">
        <f t="shared" ca="1" si="320"/>
        <v>73.37879999999997</v>
      </c>
      <c r="U731" s="311">
        <f t="shared" ca="1" si="321"/>
        <v>0</v>
      </c>
      <c r="V731" s="306">
        <f t="shared" ca="1" si="322"/>
        <v>1.2263255067935173</v>
      </c>
      <c r="W731" s="304">
        <f t="shared" ca="1" si="323"/>
        <v>57.96819975179725</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2.0182245274273694</v>
      </c>
      <c r="AH731" s="304">
        <f t="shared" ca="1" si="347"/>
        <v>-7.7497242791482677</v>
      </c>
    </row>
    <row r="732" spans="1:34" x14ac:dyDescent="0.2">
      <c r="A732" s="347">
        <f t="shared" ca="1" si="325"/>
        <v>1E-4</v>
      </c>
      <c r="B732" s="304">
        <f t="shared" ca="1" si="326"/>
        <v>34.72010000000089</v>
      </c>
      <c r="D732" s="306">
        <f t="shared" ca="1" si="327"/>
        <v>-0.7167843091485524</v>
      </c>
      <c r="E732" s="307">
        <f t="shared" ca="1" si="328"/>
        <v>-2.0934599818808071</v>
      </c>
      <c r="F732" s="304">
        <f t="shared" ca="1" si="329"/>
        <v>2.2127707611901322</v>
      </c>
      <c r="G732" s="306">
        <f t="shared" ca="1" si="330"/>
        <v>11.289935694321244</v>
      </c>
      <c r="H732" s="307">
        <f t="shared" ca="1" si="331"/>
        <v>-121.54276068921872</v>
      </c>
      <c r="I732" s="304">
        <f t="shared" ca="1" si="332"/>
        <v>122.06598758023712</v>
      </c>
      <c r="J732" s="306">
        <f t="shared" ca="1" si="333"/>
        <v>786.02923903053897</v>
      </c>
      <c r="K732" s="307">
        <f t="shared" ca="1" si="334"/>
        <v>-10.826766930003538</v>
      </c>
      <c r="L732" s="304">
        <f t="shared" ca="1" si="319"/>
        <v>786.10379943941552</v>
      </c>
      <c r="M732" s="306">
        <f t="shared" ca="1" si="335"/>
        <v>-1.4781735185300195</v>
      </c>
      <c r="N732" s="304">
        <f t="shared" ca="1" si="336"/>
        <v>-84.693103999773101</v>
      </c>
      <c r="P732" s="310">
        <f t="shared" ca="1" si="337"/>
        <v>23</v>
      </c>
      <c r="Q732" s="304">
        <f t="shared" ca="1" si="338"/>
        <v>0</v>
      </c>
      <c r="R732" s="306">
        <f t="shared" ca="1" si="339"/>
        <v>0</v>
      </c>
      <c r="S732" s="307">
        <f t="shared" ca="1" si="340"/>
        <v>7.4799999999999969</v>
      </c>
      <c r="T732" s="304">
        <f t="shared" ca="1" si="320"/>
        <v>73.37879999999997</v>
      </c>
      <c r="U732" s="311">
        <f t="shared" ca="1" si="321"/>
        <v>0</v>
      </c>
      <c r="V732" s="306">
        <f t="shared" ca="1" si="322"/>
        <v>1.2263269973034516</v>
      </c>
      <c r="W732" s="304">
        <f t="shared" ca="1" si="323"/>
        <v>57.968461893290851</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2.018190155919152</v>
      </c>
      <c r="AH732" s="304">
        <f t="shared" ca="1" si="347"/>
        <v>-7.7497593251065879</v>
      </c>
    </row>
    <row r="733" spans="1:34" x14ac:dyDescent="0.2">
      <c r="A733" s="347">
        <f t="shared" ca="1" si="325"/>
        <v>1E-4</v>
      </c>
      <c r="B733" s="304">
        <f t="shared" ca="1" si="326"/>
        <v>34.720200000000894</v>
      </c>
      <c r="D733" s="306">
        <f t="shared" ca="1" si="327"/>
        <v>-0.71678181469338387</v>
      </c>
      <c r="E733" s="307">
        <f t="shared" ca="1" si="328"/>
        <v>-2.0934245536507046</v>
      </c>
      <c r="F733" s="304">
        <f t="shared" ca="1" si="329"/>
        <v>2.2127364352093073</v>
      </c>
      <c r="G733" s="306">
        <f t="shared" ca="1" si="330"/>
        <v>11.289864016139775</v>
      </c>
      <c r="H733" s="307">
        <f t="shared" ca="1" si="331"/>
        <v>-121.54297003167409</v>
      </c>
      <c r="I733" s="304">
        <f t="shared" ca="1" si="332"/>
        <v>122.06618939584931</v>
      </c>
      <c r="J733" s="306">
        <f t="shared" ca="1" si="333"/>
        <v>786.02923903053897</v>
      </c>
      <c r="K733" s="307">
        <f t="shared" ca="1" si="334"/>
        <v>-10.838921216539584</v>
      </c>
      <c r="L733" s="304">
        <f t="shared" ca="1" si="319"/>
        <v>786.10396693062592</v>
      </c>
      <c r="M733" s="306">
        <f t="shared" ca="1" si="335"/>
        <v>-1.4781742618407792</v>
      </c>
      <c r="N733" s="304">
        <f t="shared" ca="1" si="336"/>
        <v>-84.693146588342501</v>
      </c>
      <c r="P733" s="310">
        <f t="shared" ca="1" si="337"/>
        <v>23</v>
      </c>
      <c r="Q733" s="304">
        <f t="shared" ca="1" si="338"/>
        <v>0</v>
      </c>
      <c r="R733" s="306">
        <f t="shared" ca="1" si="339"/>
        <v>0</v>
      </c>
      <c r="S733" s="307">
        <f t="shared" ca="1" si="340"/>
        <v>7.4799999999999969</v>
      </c>
      <c r="T733" s="304">
        <f t="shared" ca="1" si="320"/>
        <v>73.37879999999997</v>
      </c>
      <c r="U733" s="311">
        <f t="shared" ca="1" si="321"/>
        <v>0</v>
      </c>
      <c r="V733" s="306">
        <f t="shared" ca="1" si="322"/>
        <v>1.2263284878177656</v>
      </c>
      <c r="W733" s="304">
        <f t="shared" ca="1" si="323"/>
        <v>57.96872403250979</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2.0181557847031222</v>
      </c>
      <c r="AH733" s="304">
        <f t="shared" ca="1" si="347"/>
        <v>-7.7497943707608119</v>
      </c>
    </row>
    <row r="734" spans="1:34" x14ac:dyDescent="0.2">
      <c r="A734" s="347">
        <f t="shared" ca="1" si="325"/>
        <v>1E-4</v>
      </c>
      <c r="B734" s="304">
        <f t="shared" ca="1" si="326"/>
        <v>34.720300000000897</v>
      </c>
      <c r="D734" s="306">
        <f t="shared" ca="1" si="327"/>
        <v>-0.71677932021319823</v>
      </c>
      <c r="E734" s="307">
        <f t="shared" ca="1" si="328"/>
        <v>-2.0933891257279864</v>
      </c>
      <c r="F734" s="304">
        <f t="shared" ca="1" si="329"/>
        <v>2.2127021095487476</v>
      </c>
      <c r="G734" s="306">
        <f t="shared" ca="1" si="330"/>
        <v>11.289792338207754</v>
      </c>
      <c r="H734" s="307">
        <f t="shared" ca="1" si="331"/>
        <v>-121.54317937058666</v>
      </c>
      <c r="I734" s="304">
        <f t="shared" ca="1" si="332"/>
        <v>122.0663912080244</v>
      </c>
      <c r="J734" s="306">
        <f t="shared" ca="1" si="333"/>
        <v>786.02923903053897</v>
      </c>
      <c r="K734" s="307">
        <f t="shared" ca="1" si="334"/>
        <v>-10.851075524009696</v>
      </c>
      <c r="L734" s="304">
        <f t="shared" ca="1" si="319"/>
        <v>786.10413461001212</v>
      </c>
      <c r="M734" s="306">
        <f t="shared" ca="1" si="335"/>
        <v>-1.4781750051443616</v>
      </c>
      <c r="N734" s="304">
        <f t="shared" ca="1" si="336"/>
        <v>-84.693189176500667</v>
      </c>
      <c r="P734" s="310">
        <f t="shared" ca="1" si="337"/>
        <v>23</v>
      </c>
      <c r="Q734" s="304">
        <f t="shared" ca="1" si="338"/>
        <v>0</v>
      </c>
      <c r="R734" s="306">
        <f t="shared" ca="1" si="339"/>
        <v>0</v>
      </c>
      <c r="S734" s="307">
        <f t="shared" ca="1" si="340"/>
        <v>7.4799999999999969</v>
      </c>
      <c r="T734" s="304">
        <f t="shared" ca="1" si="320"/>
        <v>73.37879999999997</v>
      </c>
      <c r="U734" s="311">
        <f t="shared" ca="1" si="321"/>
        <v>0</v>
      </c>
      <c r="V734" s="306">
        <f t="shared" ca="1" si="322"/>
        <v>1.2263299783364601</v>
      </c>
      <c r="W734" s="304">
        <f t="shared" ca="1" si="323"/>
        <v>57.968986169454126</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2.01812141377928</v>
      </c>
      <c r="AH734" s="304">
        <f t="shared" ca="1" si="347"/>
        <v>-7.7498294161109378</v>
      </c>
    </row>
    <row r="735" spans="1:34" x14ac:dyDescent="0.2">
      <c r="A735" s="347">
        <f t="shared" ca="1" si="325"/>
        <v>1E-4</v>
      </c>
      <c r="B735" s="304">
        <f t="shared" ca="1" si="326"/>
        <v>34.7204000000009</v>
      </c>
      <c r="D735" s="306">
        <f t="shared" ca="1" si="327"/>
        <v>-0.71677682570799905</v>
      </c>
      <c r="E735" s="307">
        <f t="shared" ca="1" si="328"/>
        <v>-2.0933536981126446</v>
      </c>
      <c r="F735" s="304">
        <f t="shared" ca="1" si="329"/>
        <v>2.2126677842084477</v>
      </c>
      <c r="G735" s="306">
        <f t="shared" ca="1" si="330"/>
        <v>11.289720660525182</v>
      </c>
      <c r="H735" s="307">
        <f t="shared" ca="1" si="331"/>
        <v>-121.54338870595647</v>
      </c>
      <c r="I735" s="304">
        <f t="shared" ca="1" si="332"/>
        <v>122.06659301676244</v>
      </c>
      <c r="J735" s="306">
        <f t="shared" ca="1" si="333"/>
        <v>786.02923903053897</v>
      </c>
      <c r="K735" s="307">
        <f t="shared" ca="1" si="334"/>
        <v>-10.863229852413523</v>
      </c>
      <c r="L735" s="304">
        <f t="shared" ca="1" si="319"/>
        <v>786.10430247757495</v>
      </c>
      <c r="M735" s="306">
        <f t="shared" ca="1" si="335"/>
        <v>-1.4781757484407672</v>
      </c>
      <c r="N735" s="304">
        <f t="shared" ca="1" si="336"/>
        <v>-84.693231764247642</v>
      </c>
      <c r="P735" s="310">
        <f t="shared" ca="1" si="337"/>
        <v>23</v>
      </c>
      <c r="Q735" s="304">
        <f t="shared" ca="1" si="338"/>
        <v>0</v>
      </c>
      <c r="R735" s="306">
        <f t="shared" ca="1" si="339"/>
        <v>0</v>
      </c>
      <c r="S735" s="307">
        <f t="shared" ca="1" si="340"/>
        <v>7.4799999999999969</v>
      </c>
      <c r="T735" s="304">
        <f t="shared" ca="1" si="320"/>
        <v>73.37879999999997</v>
      </c>
      <c r="U735" s="311">
        <f t="shared" ca="1" si="321"/>
        <v>0</v>
      </c>
      <c r="V735" s="306">
        <f t="shared" ca="1" si="322"/>
        <v>1.2263314688595339</v>
      </c>
      <c r="W735" s="304">
        <f t="shared" ca="1" si="323"/>
        <v>57.969248304123845</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2.0180870431476228</v>
      </c>
      <c r="AH735" s="304">
        <f t="shared" ca="1" si="347"/>
        <v>-7.7498644611569718</v>
      </c>
    </row>
    <row r="736" spans="1:34" x14ac:dyDescent="0.2">
      <c r="A736" s="347">
        <f t="shared" ca="1" si="325"/>
        <v>1E-4</v>
      </c>
      <c r="B736" s="304">
        <f t="shared" ca="1" si="326"/>
        <v>34.720500000000904</v>
      </c>
      <c r="D736" s="306">
        <f t="shared" ca="1" si="327"/>
        <v>-0.71677433117778588</v>
      </c>
      <c r="E736" s="307">
        <f t="shared" ca="1" si="328"/>
        <v>-2.0933182708046818</v>
      </c>
      <c r="F736" s="304">
        <f t="shared" ca="1" si="329"/>
        <v>2.2126334591884094</v>
      </c>
      <c r="G736" s="306">
        <f t="shared" ca="1" si="330"/>
        <v>11.289648983092064</v>
      </c>
      <c r="H736" s="307">
        <f t="shared" ca="1" si="331"/>
        <v>-121.54359803778355</v>
      </c>
      <c r="I736" s="304">
        <f t="shared" ca="1" si="332"/>
        <v>122.06679482206344</v>
      </c>
      <c r="J736" s="306">
        <f t="shared" ca="1" si="333"/>
        <v>786.02923903053897</v>
      </c>
      <c r="K736" s="307">
        <f t="shared" ca="1" si="334"/>
        <v>-10.875384201750711</v>
      </c>
      <c r="L736" s="304">
        <f t="shared" ca="1" si="319"/>
        <v>786.10447053331529</v>
      </c>
      <c r="M736" s="306">
        <f t="shared" ca="1" si="335"/>
        <v>-1.478176491729996</v>
      </c>
      <c r="N736" s="304">
        <f t="shared" ca="1" si="336"/>
        <v>-84.693274351583412</v>
      </c>
      <c r="P736" s="310">
        <f t="shared" ca="1" si="337"/>
        <v>23</v>
      </c>
      <c r="Q736" s="304">
        <f t="shared" ca="1" si="338"/>
        <v>0</v>
      </c>
      <c r="R736" s="306">
        <f t="shared" ca="1" si="339"/>
        <v>0</v>
      </c>
      <c r="S736" s="307">
        <f t="shared" ca="1" si="340"/>
        <v>7.4799999999999969</v>
      </c>
      <c r="T736" s="304">
        <f t="shared" ca="1" si="320"/>
        <v>73.37879999999997</v>
      </c>
      <c r="U736" s="311">
        <f t="shared" ca="1" si="321"/>
        <v>0</v>
      </c>
      <c r="V736" s="306">
        <f t="shared" ca="1" si="322"/>
        <v>1.2263329593869874</v>
      </c>
      <c r="W736" s="304">
        <f t="shared" ca="1" si="323"/>
        <v>57.969510436518917</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2.0180526728081478</v>
      </c>
      <c r="AH736" s="304">
        <f t="shared" ca="1" si="347"/>
        <v>-7.7498995058989131</v>
      </c>
    </row>
    <row r="737" spans="1:34" x14ac:dyDescent="0.2">
      <c r="A737" s="347">
        <f t="shared" ca="1" si="325"/>
        <v>1E-4</v>
      </c>
      <c r="B737" s="304">
        <f t="shared" ca="1" si="326"/>
        <v>34.720600000000907</v>
      </c>
      <c r="D737" s="306">
        <f t="shared" ca="1" si="327"/>
        <v>-0.71677183662255828</v>
      </c>
      <c r="E737" s="307">
        <f t="shared" ca="1" si="328"/>
        <v>-2.0932828438041016</v>
      </c>
      <c r="F737" s="304">
        <f t="shared" ca="1" si="329"/>
        <v>2.2125991344886362</v>
      </c>
      <c r="G737" s="306">
        <f t="shared" ca="1" si="330"/>
        <v>11.289577305908402</v>
      </c>
      <c r="H737" s="307">
        <f t="shared" ca="1" si="331"/>
        <v>-121.54380736606794</v>
      </c>
      <c r="I737" s="304">
        <f t="shared" ca="1" si="332"/>
        <v>122.06699662392744</v>
      </c>
      <c r="J737" s="306">
        <f t="shared" ca="1" si="333"/>
        <v>786.02923903053897</v>
      </c>
      <c r="K737" s="307">
        <f t="shared" ca="1" si="334"/>
        <v>-10.887538572020903</v>
      </c>
      <c r="L737" s="304">
        <f t="shared" ca="1" si="319"/>
        <v>786.10463877723396</v>
      </c>
      <c r="M737" s="306">
        <f t="shared" ca="1" si="335"/>
        <v>-1.4781772350120481</v>
      </c>
      <c r="N737" s="304">
        <f t="shared" ca="1" si="336"/>
        <v>-84.693316938507976</v>
      </c>
      <c r="P737" s="310">
        <f t="shared" ca="1" si="337"/>
        <v>23</v>
      </c>
      <c r="Q737" s="304">
        <f t="shared" ca="1" si="338"/>
        <v>0</v>
      </c>
      <c r="R737" s="306">
        <f t="shared" ca="1" si="339"/>
        <v>0</v>
      </c>
      <c r="S737" s="307">
        <f t="shared" ca="1" si="340"/>
        <v>7.4799999999999969</v>
      </c>
      <c r="T737" s="304">
        <f t="shared" ca="1" si="320"/>
        <v>73.37879999999997</v>
      </c>
      <c r="U737" s="311">
        <f t="shared" ca="1" si="321"/>
        <v>0</v>
      </c>
      <c r="V737" s="306">
        <f t="shared" ca="1" si="322"/>
        <v>1.2263344499188209</v>
      </c>
      <c r="W737" s="304">
        <f t="shared" ca="1" si="323"/>
        <v>57.969772566639371</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2.0180183027608649</v>
      </c>
      <c r="AH737" s="304">
        <f t="shared" ca="1" si="347"/>
        <v>-7.7499345503367572</v>
      </c>
    </row>
    <row r="738" spans="1:34" x14ac:dyDescent="0.2">
      <c r="A738" s="347">
        <f t="shared" ca="1" si="325"/>
        <v>1E-4</v>
      </c>
      <c r="B738" s="304">
        <f t="shared" ca="1" si="326"/>
        <v>34.72070000000091</v>
      </c>
      <c r="D738" s="306">
        <f t="shared" ca="1" si="327"/>
        <v>-0.71676934204231779</v>
      </c>
      <c r="E738" s="307">
        <f t="shared" ca="1" si="328"/>
        <v>-2.0932474171109012</v>
      </c>
      <c r="F738" s="304">
        <f t="shared" ca="1" si="329"/>
        <v>2.2125648101091269</v>
      </c>
      <c r="G738" s="306">
        <f t="shared" ca="1" si="330"/>
        <v>11.289505628974197</v>
      </c>
      <c r="H738" s="307">
        <f t="shared" ca="1" si="331"/>
        <v>-121.54401669080966</v>
      </c>
      <c r="I738" s="304">
        <f t="shared" ca="1" si="332"/>
        <v>122.06719842235447</v>
      </c>
      <c r="J738" s="306">
        <f t="shared" ca="1" si="333"/>
        <v>786.02923903053897</v>
      </c>
      <c r="K738" s="307">
        <f t="shared" ca="1" si="334"/>
        <v>-10.899692963223746</v>
      </c>
      <c r="L738" s="304">
        <f t="shared" ca="1" si="319"/>
        <v>786.10480720933185</v>
      </c>
      <c r="M738" s="306">
        <f t="shared" ca="1" si="335"/>
        <v>-1.4781779782869235</v>
      </c>
      <c r="N738" s="304">
        <f t="shared" ca="1" si="336"/>
        <v>-84.693359525021364</v>
      </c>
      <c r="P738" s="310">
        <f t="shared" ca="1" si="337"/>
        <v>23</v>
      </c>
      <c r="Q738" s="304">
        <f t="shared" ca="1" si="338"/>
        <v>0</v>
      </c>
      <c r="R738" s="306">
        <f t="shared" ca="1" si="339"/>
        <v>0</v>
      </c>
      <c r="S738" s="307">
        <f t="shared" ca="1" si="340"/>
        <v>7.4799999999999969</v>
      </c>
      <c r="T738" s="304">
        <f t="shared" ca="1" si="320"/>
        <v>73.37879999999997</v>
      </c>
      <c r="U738" s="311">
        <f t="shared" ca="1" si="321"/>
        <v>0</v>
      </c>
      <c r="V738" s="306">
        <f t="shared" ca="1" si="322"/>
        <v>1.2263359404550338</v>
      </c>
      <c r="W738" s="304">
        <f t="shared" ca="1" si="323"/>
        <v>57.970034694485207</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2.0179839330057652</v>
      </c>
      <c r="AH738" s="304">
        <f t="shared" ca="1" si="347"/>
        <v>-7.7499695944705076</v>
      </c>
    </row>
    <row r="739" spans="1:34" x14ac:dyDescent="0.2">
      <c r="A739" s="347">
        <f t="shared" ca="1" si="325"/>
        <v>1E-4</v>
      </c>
      <c r="B739" s="304">
        <f t="shared" ca="1" si="326"/>
        <v>34.720800000000914</v>
      </c>
      <c r="D739" s="306">
        <f t="shared" ca="1" si="327"/>
        <v>-0.71676684743706598</v>
      </c>
      <c r="E739" s="307">
        <f t="shared" ca="1" si="328"/>
        <v>-2.0932119907250799</v>
      </c>
      <c r="F739" s="304">
        <f t="shared" ca="1" si="329"/>
        <v>2.2125304860498809</v>
      </c>
      <c r="G739" s="306">
        <f t="shared" ca="1" si="330"/>
        <v>11.289433952289453</v>
      </c>
      <c r="H739" s="307">
        <f t="shared" ca="1" si="331"/>
        <v>-121.54422601200872</v>
      </c>
      <c r="I739" s="304">
        <f t="shared" ca="1" si="332"/>
        <v>122.06740021734453</v>
      </c>
      <c r="J739" s="306">
        <f t="shared" ca="1" si="333"/>
        <v>786.02923903053897</v>
      </c>
      <c r="K739" s="307">
        <f t="shared" ca="1" si="334"/>
        <v>-10.911847375358887</v>
      </c>
      <c r="L739" s="304">
        <f t="shared" ca="1" si="319"/>
        <v>786.10497582960977</v>
      </c>
      <c r="M739" s="306">
        <f t="shared" ca="1" si="335"/>
        <v>-1.4781787215546225</v>
      </c>
      <c r="N739" s="304">
        <f t="shared" ca="1" si="336"/>
        <v>-84.693402111123561</v>
      </c>
      <c r="P739" s="310">
        <f t="shared" ca="1" si="337"/>
        <v>23</v>
      </c>
      <c r="Q739" s="304">
        <f t="shared" ca="1" si="338"/>
        <v>0</v>
      </c>
      <c r="R739" s="306">
        <f t="shared" ca="1" si="339"/>
        <v>0</v>
      </c>
      <c r="S739" s="307">
        <f t="shared" ca="1" si="340"/>
        <v>7.4799999999999969</v>
      </c>
      <c r="T739" s="304">
        <f t="shared" ca="1" si="320"/>
        <v>73.37879999999997</v>
      </c>
      <c r="U739" s="311">
        <f t="shared" ca="1" si="321"/>
        <v>0</v>
      </c>
      <c r="V739" s="306">
        <f t="shared" ca="1" si="322"/>
        <v>1.2263374309956265</v>
      </c>
      <c r="W739" s="304">
        <f t="shared" ca="1" si="323"/>
        <v>57.970296820056411</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2.0179495635428522</v>
      </c>
      <c r="AH739" s="304">
        <f t="shared" ca="1" si="347"/>
        <v>-7.7500046383001644</v>
      </c>
    </row>
    <row r="740" spans="1:34" x14ac:dyDescent="0.2">
      <c r="A740" s="347">
        <f t="shared" ca="1" si="325"/>
        <v>1E-4</v>
      </c>
      <c r="B740" s="304">
        <f t="shared" ca="1" si="326"/>
        <v>34.720900000000917</v>
      </c>
      <c r="D740" s="306">
        <f t="shared" ca="1" si="327"/>
        <v>-0.71676435280680251</v>
      </c>
      <c r="E740" s="307">
        <f t="shared" ca="1" si="328"/>
        <v>-2.0931765646466394</v>
      </c>
      <c r="F740" s="304">
        <f t="shared" ca="1" si="329"/>
        <v>2.2124961623109001</v>
      </c>
      <c r="G740" s="306">
        <f t="shared" ca="1" si="330"/>
        <v>11.289362275854172</v>
      </c>
      <c r="H740" s="307">
        <f t="shared" ca="1" si="331"/>
        <v>-121.54443532966519</v>
      </c>
      <c r="I740" s="304">
        <f t="shared" ca="1" si="332"/>
        <v>122.06760200889769</v>
      </c>
      <c r="J740" s="306">
        <f t="shared" ca="1" si="333"/>
        <v>786.02923903053897</v>
      </c>
      <c r="K740" s="307">
        <f t="shared" ca="1" si="334"/>
        <v>-10.92400180842597</v>
      </c>
      <c r="L740" s="304">
        <f t="shared" ca="1" si="319"/>
        <v>786.10514463806862</v>
      </c>
      <c r="M740" s="306">
        <f t="shared" ca="1" si="335"/>
        <v>-1.478179464815145</v>
      </c>
      <c r="N740" s="304">
        <f t="shared" ca="1" si="336"/>
        <v>-84.693444696814581</v>
      </c>
      <c r="P740" s="310">
        <f t="shared" ca="1" si="337"/>
        <v>23</v>
      </c>
      <c r="Q740" s="304">
        <f t="shared" ca="1" si="338"/>
        <v>0</v>
      </c>
      <c r="R740" s="306">
        <f t="shared" ca="1" si="339"/>
        <v>0</v>
      </c>
      <c r="S740" s="307">
        <f t="shared" ca="1" si="340"/>
        <v>7.4799999999999969</v>
      </c>
      <c r="T740" s="304">
        <f t="shared" ca="1" si="320"/>
        <v>73.37879999999997</v>
      </c>
      <c r="U740" s="311">
        <f t="shared" ca="1" si="321"/>
        <v>0</v>
      </c>
      <c r="V740" s="306">
        <f t="shared" ca="1" si="322"/>
        <v>1.2263389215405991</v>
      </c>
      <c r="W740" s="304">
        <f t="shared" ca="1" si="323"/>
        <v>57.970558943353026</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2.0179151943721267</v>
      </c>
      <c r="AH740" s="304">
        <f t="shared" ca="1" si="347"/>
        <v>-7.7500396818257267</v>
      </c>
    </row>
    <row r="741" spans="1:34" x14ac:dyDescent="0.2">
      <c r="A741" s="347">
        <f t="shared" ca="1" si="325"/>
        <v>1E-4</v>
      </c>
      <c r="B741" s="304">
        <f t="shared" ca="1" si="326"/>
        <v>34.72100000000092</v>
      </c>
      <c r="D741" s="306">
        <f t="shared" ca="1" si="327"/>
        <v>-0.71676185815152915</v>
      </c>
      <c r="E741" s="307">
        <f t="shared" ca="1" si="328"/>
        <v>-2.0931411388755743</v>
      </c>
      <c r="F741" s="304">
        <f t="shared" ca="1" si="329"/>
        <v>2.2124618388921804</v>
      </c>
      <c r="G741" s="306">
        <f t="shared" ca="1" si="330"/>
        <v>11.289290599668357</v>
      </c>
      <c r="H741" s="307">
        <f t="shared" ca="1" si="331"/>
        <v>-121.54464464377908</v>
      </c>
      <c r="I741" s="304">
        <f t="shared" ca="1" si="332"/>
        <v>122.06780379701395</v>
      </c>
      <c r="J741" s="306">
        <f t="shared" ca="1" si="333"/>
        <v>786.02923903053897</v>
      </c>
      <c r="K741" s="307">
        <f t="shared" ca="1" si="334"/>
        <v>-10.936156262424642</v>
      </c>
      <c r="L741" s="304">
        <f t="shared" ca="1" si="319"/>
        <v>786.10531363470909</v>
      </c>
      <c r="M741" s="306">
        <f t="shared" ca="1" si="335"/>
        <v>-1.4781802080684914</v>
      </c>
      <c r="N741" s="304">
        <f t="shared" ca="1" si="336"/>
        <v>-84.693487282094438</v>
      </c>
      <c r="P741" s="310">
        <f t="shared" ca="1" si="337"/>
        <v>23</v>
      </c>
      <c r="Q741" s="304">
        <f t="shared" ca="1" si="338"/>
        <v>0</v>
      </c>
      <c r="R741" s="306">
        <f t="shared" ca="1" si="339"/>
        <v>0</v>
      </c>
      <c r="S741" s="307">
        <f t="shared" ca="1" si="340"/>
        <v>7.4799999999999969</v>
      </c>
      <c r="T741" s="304">
        <f t="shared" ca="1" si="320"/>
        <v>73.37879999999997</v>
      </c>
      <c r="U741" s="311">
        <f t="shared" ca="1" si="321"/>
        <v>0</v>
      </c>
      <c r="V741" s="306">
        <f t="shared" ca="1" si="322"/>
        <v>1.2263404120899508</v>
      </c>
      <c r="W741" s="304">
        <f t="shared" ca="1" si="323"/>
        <v>57.970821064374988</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2.0178808254935845</v>
      </c>
      <c r="AH741" s="304">
        <f t="shared" ca="1" si="347"/>
        <v>-7.7500747250471989</v>
      </c>
    </row>
    <row r="742" spans="1:34" x14ac:dyDescent="0.2">
      <c r="A742" s="347">
        <f t="shared" ca="1" si="325"/>
        <v>1E-4</v>
      </c>
      <c r="B742" s="304">
        <f t="shared" ca="1" si="326"/>
        <v>34.721100000000924</v>
      </c>
      <c r="D742" s="306">
        <f t="shared" ca="1" si="327"/>
        <v>-0.71675936347124314</v>
      </c>
      <c r="E742" s="307">
        <f t="shared" ca="1" si="328"/>
        <v>-2.0931057134118918</v>
      </c>
      <c r="F742" s="304">
        <f t="shared" ca="1" si="329"/>
        <v>2.2124275157937281</v>
      </c>
      <c r="G742" s="306">
        <f t="shared" ca="1" si="330"/>
        <v>11.28921892373201</v>
      </c>
      <c r="H742" s="307">
        <f t="shared" ca="1" si="331"/>
        <v>-121.54485395435042</v>
      </c>
      <c r="I742" s="304">
        <f t="shared" ca="1" si="332"/>
        <v>122.06800558169336</v>
      </c>
      <c r="J742" s="306">
        <f t="shared" ca="1" si="333"/>
        <v>786.02923903053897</v>
      </c>
      <c r="K742" s="307">
        <f t="shared" ca="1" si="334"/>
        <v>-10.948310737354548</v>
      </c>
      <c r="L742" s="304">
        <f t="shared" ca="1" si="319"/>
        <v>786.1054828195322</v>
      </c>
      <c r="M742" s="306">
        <f t="shared" ca="1" si="335"/>
        <v>-1.4781809513146613</v>
      </c>
      <c r="N742" s="304">
        <f t="shared" ca="1" si="336"/>
        <v>-84.693529866963104</v>
      </c>
      <c r="P742" s="310">
        <f t="shared" ca="1" si="337"/>
        <v>23</v>
      </c>
      <c r="Q742" s="304">
        <f t="shared" ca="1" si="338"/>
        <v>0</v>
      </c>
      <c r="R742" s="306">
        <f t="shared" ca="1" si="339"/>
        <v>0</v>
      </c>
      <c r="S742" s="307">
        <f t="shared" ca="1" si="340"/>
        <v>7.4799999999999969</v>
      </c>
      <c r="T742" s="304">
        <f t="shared" ca="1" si="320"/>
        <v>73.37879999999997</v>
      </c>
      <c r="U742" s="311">
        <f t="shared" ca="1" si="321"/>
        <v>0</v>
      </c>
      <c r="V742" s="306">
        <f t="shared" ca="1" si="322"/>
        <v>1.2263419026436824</v>
      </c>
      <c r="W742" s="304">
        <f t="shared" ca="1" si="323"/>
        <v>57.971083183122339</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2.0178464569072325</v>
      </c>
      <c r="AH742" s="304">
        <f t="shared" ca="1" si="347"/>
        <v>-7.7501097679645738</v>
      </c>
    </row>
    <row r="743" spans="1:34" x14ac:dyDescent="0.2">
      <c r="A743" s="347">
        <f t="shared" ca="1" si="325"/>
        <v>1E-4</v>
      </c>
      <c r="B743" s="304">
        <f t="shared" ca="1" si="326"/>
        <v>34.721200000000927</v>
      </c>
      <c r="D743" s="306">
        <f t="shared" ca="1" si="327"/>
        <v>-0.71675686876595002</v>
      </c>
      <c r="E743" s="307">
        <f t="shared" ca="1" si="328"/>
        <v>-2.0930702882555883</v>
      </c>
      <c r="F743" s="304">
        <f t="shared" ca="1" si="329"/>
        <v>2.2123931930155409</v>
      </c>
      <c r="G743" s="306">
        <f t="shared" ca="1" si="330"/>
        <v>11.289147248045133</v>
      </c>
      <c r="H743" s="307">
        <f t="shared" ca="1" si="331"/>
        <v>-121.54506326137924</v>
      </c>
      <c r="I743" s="304">
        <f t="shared" ca="1" si="332"/>
        <v>122.06820736293594</v>
      </c>
      <c r="J743" s="306">
        <f t="shared" ca="1" si="333"/>
        <v>786.02923903053897</v>
      </c>
      <c r="K743" s="307">
        <f t="shared" ca="1" si="334"/>
        <v>-10.960465233215334</v>
      </c>
      <c r="L743" s="304">
        <f t="shared" ca="1" si="319"/>
        <v>786.10565219253874</v>
      </c>
      <c r="M743" s="306">
        <f t="shared" ca="1" si="335"/>
        <v>-1.4781816945536554</v>
      </c>
      <c r="N743" s="304">
        <f t="shared" ca="1" si="336"/>
        <v>-84.69357245142065</v>
      </c>
      <c r="P743" s="310">
        <f t="shared" ca="1" si="337"/>
        <v>23</v>
      </c>
      <c r="Q743" s="304">
        <f t="shared" ca="1" si="338"/>
        <v>0</v>
      </c>
      <c r="R743" s="306">
        <f t="shared" ca="1" si="339"/>
        <v>0</v>
      </c>
      <c r="S743" s="307">
        <f t="shared" ca="1" si="340"/>
        <v>7.4799999999999969</v>
      </c>
      <c r="T743" s="304">
        <f t="shared" ca="1" si="320"/>
        <v>73.37879999999997</v>
      </c>
      <c r="U743" s="311">
        <f t="shared" ca="1" si="321"/>
        <v>0</v>
      </c>
      <c r="V743" s="306">
        <f t="shared" ca="1" si="322"/>
        <v>1.2263433932017931</v>
      </c>
      <c r="W743" s="304">
        <f t="shared" ca="1" si="323"/>
        <v>57.971345299595065</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2.0178120886130646</v>
      </c>
      <c r="AH743" s="304">
        <f t="shared" ca="1" si="347"/>
        <v>-7.7501448105778561</v>
      </c>
    </row>
    <row r="744" spans="1:34" x14ac:dyDescent="0.2">
      <c r="A744" s="347">
        <f t="shared" ca="1" si="325"/>
        <v>1E-4</v>
      </c>
      <c r="B744" s="304">
        <f t="shared" ca="1" si="326"/>
        <v>34.72130000000093</v>
      </c>
      <c r="D744" s="306">
        <f t="shared" ca="1" si="327"/>
        <v>-0.71675437403564579</v>
      </c>
      <c r="E744" s="307">
        <f t="shared" ca="1" si="328"/>
        <v>-2.0930348634066638</v>
      </c>
      <c r="F744" s="304">
        <f t="shared" ca="1" si="329"/>
        <v>2.2123588705576189</v>
      </c>
      <c r="G744" s="306">
        <f t="shared" ca="1" si="330"/>
        <v>11.289075572607729</v>
      </c>
      <c r="H744" s="307">
        <f t="shared" ca="1" si="331"/>
        <v>-121.54527256486558</v>
      </c>
      <c r="I744" s="304">
        <f t="shared" ca="1" si="332"/>
        <v>122.06840914074171</v>
      </c>
      <c r="J744" s="306">
        <f t="shared" ca="1" si="333"/>
        <v>786.02923903053897</v>
      </c>
      <c r="K744" s="307">
        <f t="shared" ca="1" si="334"/>
        <v>-10.972619750006647</v>
      </c>
      <c r="L744" s="304">
        <f t="shared" ca="1" si="319"/>
        <v>786.10582175372963</v>
      </c>
      <c r="M744" s="306">
        <f t="shared" ca="1" si="335"/>
        <v>-1.4781824377854733</v>
      </c>
      <c r="N744" s="304">
        <f t="shared" ca="1" si="336"/>
        <v>-84.693615035467005</v>
      </c>
      <c r="P744" s="310">
        <f t="shared" ca="1" si="337"/>
        <v>23</v>
      </c>
      <c r="Q744" s="304">
        <f t="shared" ca="1" si="338"/>
        <v>0</v>
      </c>
      <c r="R744" s="306">
        <f t="shared" ca="1" si="339"/>
        <v>0</v>
      </c>
      <c r="S744" s="307">
        <f t="shared" ca="1" si="340"/>
        <v>7.4799999999999969</v>
      </c>
      <c r="T744" s="304">
        <f t="shared" ca="1" si="320"/>
        <v>73.37879999999997</v>
      </c>
      <c r="U744" s="311">
        <f t="shared" ca="1" si="321"/>
        <v>0</v>
      </c>
      <c r="V744" s="306">
        <f t="shared" ca="1" si="322"/>
        <v>1.2263448837642836</v>
      </c>
      <c r="W744" s="304">
        <f t="shared" ca="1" si="323"/>
        <v>57.971607413793187</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2.0177777206110861</v>
      </c>
      <c r="AH744" s="304">
        <f t="shared" ca="1" si="347"/>
        <v>-7.7501798528870438</v>
      </c>
    </row>
    <row r="745" spans="1:34" x14ac:dyDescent="0.2">
      <c r="A745" s="347">
        <f t="shared" ca="1" si="325"/>
        <v>1E-4</v>
      </c>
      <c r="B745" s="304">
        <f t="shared" ca="1" si="326"/>
        <v>34.721400000000934</v>
      </c>
      <c r="D745" s="306">
        <f t="shared" ca="1" si="327"/>
        <v>-0.71675187928033557</v>
      </c>
      <c r="E745" s="307">
        <f t="shared" ca="1" si="328"/>
        <v>-2.0929994388651174</v>
      </c>
      <c r="F745" s="304">
        <f t="shared" ca="1" si="329"/>
        <v>2.2123245484199621</v>
      </c>
      <c r="G745" s="306">
        <f t="shared" ca="1" si="330"/>
        <v>11.2890038974198</v>
      </c>
      <c r="H745" s="307">
        <f t="shared" ca="1" si="331"/>
        <v>-121.54548186480947</v>
      </c>
      <c r="I745" s="304">
        <f t="shared" ca="1" si="332"/>
        <v>122.06861091511072</v>
      </c>
      <c r="J745" s="306">
        <f t="shared" ca="1" si="333"/>
        <v>786.02923903053897</v>
      </c>
      <c r="K745" s="307">
        <f t="shared" ca="1" si="334"/>
        <v>-10.984774287728131</v>
      </c>
      <c r="L745" s="304">
        <f t="shared" ca="1" si="319"/>
        <v>786.10599150310554</v>
      </c>
      <c r="M745" s="306">
        <f t="shared" ca="1" si="335"/>
        <v>-1.4781831810101156</v>
      </c>
      <c r="N745" s="304">
        <f t="shared" ca="1" si="336"/>
        <v>-84.69365761910224</v>
      </c>
      <c r="P745" s="310">
        <f t="shared" ca="1" si="337"/>
        <v>23</v>
      </c>
      <c r="Q745" s="304">
        <f t="shared" ca="1" si="338"/>
        <v>0</v>
      </c>
      <c r="R745" s="306">
        <f t="shared" ca="1" si="339"/>
        <v>0</v>
      </c>
      <c r="S745" s="307">
        <f t="shared" ca="1" si="340"/>
        <v>7.4799999999999969</v>
      </c>
      <c r="T745" s="304">
        <f t="shared" ca="1" si="320"/>
        <v>73.37879999999997</v>
      </c>
      <c r="U745" s="311">
        <f t="shared" ca="1" si="321"/>
        <v>0</v>
      </c>
      <c r="V745" s="306">
        <f t="shared" ca="1" si="322"/>
        <v>1.2263463743311536</v>
      </c>
      <c r="W745" s="304">
        <f t="shared" ca="1" si="323"/>
        <v>57.971869525716706</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2.0177433529012934</v>
      </c>
      <c r="AH745" s="304">
        <f t="shared" ca="1" si="347"/>
        <v>-7.7502148948921405</v>
      </c>
    </row>
    <row r="746" spans="1:34" x14ac:dyDescent="0.2">
      <c r="A746" s="347">
        <f t="shared" ca="1" si="325"/>
        <v>1E-4</v>
      </c>
      <c r="B746" s="304">
        <f t="shared" ca="1" si="326"/>
        <v>34.721500000000937</v>
      </c>
      <c r="D746" s="306">
        <f t="shared" ca="1" si="327"/>
        <v>-0.71674938450001568</v>
      </c>
      <c r="E746" s="307">
        <f t="shared" ca="1" si="328"/>
        <v>-2.0929640146309474</v>
      </c>
      <c r="F746" s="304">
        <f t="shared" ca="1" si="329"/>
        <v>2.2122902266025686</v>
      </c>
      <c r="G746" s="306">
        <f t="shared" ca="1" si="330"/>
        <v>11.28893222248135</v>
      </c>
      <c r="H746" s="307">
        <f t="shared" ca="1" si="331"/>
        <v>-121.54569116121094</v>
      </c>
      <c r="I746" s="304">
        <f t="shared" ca="1" si="332"/>
        <v>122.06881268604299</v>
      </c>
      <c r="J746" s="306">
        <f t="shared" ca="1" si="333"/>
        <v>786.02923903053897</v>
      </c>
      <c r="K746" s="307">
        <f t="shared" ca="1" si="334"/>
        <v>-10.996928846379433</v>
      </c>
      <c r="L746" s="304">
        <f t="shared" ca="1" si="319"/>
        <v>786.10616144066728</v>
      </c>
      <c r="M746" s="306">
        <f t="shared" ca="1" si="335"/>
        <v>-1.4781839242275818</v>
      </c>
      <c r="N746" s="304">
        <f t="shared" ca="1" si="336"/>
        <v>-84.693700202326312</v>
      </c>
      <c r="P746" s="310">
        <f t="shared" ca="1" si="337"/>
        <v>23</v>
      </c>
      <c r="Q746" s="304">
        <f t="shared" ca="1" si="338"/>
        <v>0</v>
      </c>
      <c r="R746" s="306">
        <f t="shared" ca="1" si="339"/>
        <v>0</v>
      </c>
      <c r="S746" s="307">
        <f t="shared" ca="1" si="340"/>
        <v>7.4799999999999969</v>
      </c>
      <c r="T746" s="304">
        <f t="shared" ca="1" si="320"/>
        <v>73.37879999999997</v>
      </c>
      <c r="U746" s="311">
        <f t="shared" ca="1" si="321"/>
        <v>0</v>
      </c>
      <c r="V746" s="306">
        <f t="shared" ca="1" si="322"/>
        <v>1.2263478649024029</v>
      </c>
      <c r="W746" s="304">
        <f t="shared" ca="1" si="323"/>
        <v>57.972131635365599</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2.0177089854836856</v>
      </c>
      <c r="AH746" s="304">
        <f t="shared" ca="1" si="347"/>
        <v>-7.7502499365931454</v>
      </c>
    </row>
    <row r="747" spans="1:34" x14ac:dyDescent="0.2">
      <c r="A747" s="347">
        <f t="shared" ca="1" si="325"/>
        <v>1E-4</v>
      </c>
      <c r="B747" s="304">
        <f t="shared" ca="1" si="326"/>
        <v>34.72160000000094</v>
      </c>
      <c r="D747" s="306">
        <f t="shared" ca="1" si="327"/>
        <v>-0.71674688969469069</v>
      </c>
      <c r="E747" s="307">
        <f t="shared" ca="1" si="328"/>
        <v>-2.0929285907041582</v>
      </c>
      <c r="F747" s="304">
        <f t="shared" ca="1" si="329"/>
        <v>2.2122559051054438</v>
      </c>
      <c r="G747" s="306">
        <f t="shared" ca="1" si="330"/>
        <v>11.28886054779238</v>
      </c>
      <c r="H747" s="307">
        <f t="shared" ca="1" si="331"/>
        <v>-121.54590045407001</v>
      </c>
      <c r="I747" s="304">
        <f t="shared" ca="1" si="332"/>
        <v>122.06901445353853</v>
      </c>
      <c r="J747" s="306">
        <f t="shared" ca="1" si="333"/>
        <v>786.02923903053897</v>
      </c>
      <c r="K747" s="307">
        <f t="shared" ca="1" si="334"/>
        <v>-11.009083425960197</v>
      </c>
      <c r="L747" s="304">
        <f t="shared" ca="1" si="319"/>
        <v>786.10633156641597</v>
      </c>
      <c r="M747" s="306">
        <f t="shared" ca="1" si="335"/>
        <v>-1.4781846674378725</v>
      </c>
      <c r="N747" s="304">
        <f t="shared" ca="1" si="336"/>
        <v>-84.693742785139264</v>
      </c>
      <c r="P747" s="310">
        <f t="shared" ca="1" si="337"/>
        <v>23</v>
      </c>
      <c r="Q747" s="304">
        <f t="shared" ca="1" si="338"/>
        <v>0</v>
      </c>
      <c r="R747" s="306">
        <f t="shared" ca="1" si="339"/>
        <v>0</v>
      </c>
      <c r="S747" s="307">
        <f t="shared" ca="1" si="340"/>
        <v>7.4799999999999969</v>
      </c>
      <c r="T747" s="304">
        <f t="shared" ca="1" si="320"/>
        <v>73.37879999999997</v>
      </c>
      <c r="U747" s="311">
        <f t="shared" ca="1" si="321"/>
        <v>0</v>
      </c>
      <c r="V747" s="306">
        <f t="shared" ca="1" si="322"/>
        <v>1.2263493554780318</v>
      </c>
      <c r="W747" s="304">
        <f t="shared" ca="1" si="323"/>
        <v>57.972393742739889</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2.0176746183582663</v>
      </c>
      <c r="AH747" s="304">
        <f t="shared" ca="1" si="347"/>
        <v>-7.7502849779900567</v>
      </c>
    </row>
    <row r="748" spans="1:34" x14ac:dyDescent="0.2">
      <c r="A748" s="347">
        <f t="shared" ca="1" si="325"/>
        <v>1E-4</v>
      </c>
      <c r="B748" s="304">
        <f t="shared" ca="1" si="326"/>
        <v>34.721700000000943</v>
      </c>
      <c r="D748" s="306">
        <f t="shared" ca="1" si="327"/>
        <v>-0.71674439486435892</v>
      </c>
      <c r="E748" s="307">
        <f t="shared" ca="1" si="328"/>
        <v>-2.0928931670847453</v>
      </c>
      <c r="F748" s="304">
        <f t="shared" ca="1" si="329"/>
        <v>2.2122215839285837</v>
      </c>
      <c r="G748" s="306">
        <f t="shared" ca="1" si="330"/>
        <v>11.288788873352894</v>
      </c>
      <c r="H748" s="307">
        <f t="shared" ca="1" si="331"/>
        <v>-121.54610974338672</v>
      </c>
      <c r="I748" s="304">
        <f t="shared" ca="1" si="332"/>
        <v>122.0692162175974</v>
      </c>
      <c r="J748" s="306">
        <f t="shared" ca="1" si="333"/>
        <v>786.02923903053897</v>
      </c>
      <c r="K748" s="307">
        <f t="shared" ca="1" si="334"/>
        <v>-11.021238026470071</v>
      </c>
      <c r="L748" s="304">
        <f t="shared" ca="1" si="319"/>
        <v>786.10650188035231</v>
      </c>
      <c r="M748" s="306">
        <f t="shared" ca="1" si="335"/>
        <v>-1.4781854106409875</v>
      </c>
      <c r="N748" s="304">
        <f t="shared" ca="1" si="336"/>
        <v>-84.693785367541068</v>
      </c>
      <c r="P748" s="310">
        <f t="shared" ca="1" si="337"/>
        <v>23</v>
      </c>
      <c r="Q748" s="304">
        <f t="shared" ca="1" si="338"/>
        <v>0</v>
      </c>
      <c r="R748" s="306">
        <f t="shared" ca="1" si="339"/>
        <v>0</v>
      </c>
      <c r="S748" s="307">
        <f t="shared" ca="1" si="340"/>
        <v>7.4799999999999969</v>
      </c>
      <c r="T748" s="304">
        <f t="shared" ca="1" si="320"/>
        <v>73.37879999999997</v>
      </c>
      <c r="U748" s="311">
        <f t="shared" ca="1" si="321"/>
        <v>0</v>
      </c>
      <c r="V748" s="306">
        <f t="shared" ca="1" si="322"/>
        <v>1.2263508460580399</v>
      </c>
      <c r="W748" s="304">
        <f t="shared" ca="1" si="323"/>
        <v>57.972655847839576</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2.017640251525032</v>
      </c>
      <c r="AH748" s="304">
        <f t="shared" ca="1" si="347"/>
        <v>-7.750320019082876</v>
      </c>
    </row>
    <row r="749" spans="1:34" x14ac:dyDescent="0.2">
      <c r="A749" s="347">
        <f t="shared" ca="1" si="325"/>
        <v>1E-4</v>
      </c>
      <c r="B749" s="304">
        <f t="shared" ca="1" si="326"/>
        <v>34.721800000000947</v>
      </c>
      <c r="D749" s="306">
        <f t="shared" ca="1" si="327"/>
        <v>-0.71674190000902183</v>
      </c>
      <c r="E749" s="307">
        <f t="shared" ca="1" si="328"/>
        <v>-2.0928577437727096</v>
      </c>
      <c r="F749" s="304">
        <f t="shared" ca="1" si="329"/>
        <v>2.2121872630719897</v>
      </c>
      <c r="G749" s="306">
        <f t="shared" ca="1" si="330"/>
        <v>11.288717199162893</v>
      </c>
      <c r="H749" s="307">
        <f t="shared" ca="1" si="331"/>
        <v>-121.5463190291611</v>
      </c>
      <c r="I749" s="304">
        <f t="shared" ca="1" si="332"/>
        <v>122.0694179782196</v>
      </c>
      <c r="J749" s="306">
        <f t="shared" ca="1" si="333"/>
        <v>786.02923903053897</v>
      </c>
      <c r="K749" s="307">
        <f t="shared" ca="1" si="334"/>
        <v>-11.033392647908698</v>
      </c>
      <c r="L749" s="304">
        <f t="shared" ca="1" si="319"/>
        <v>786.10667238247709</v>
      </c>
      <c r="M749" s="306">
        <f t="shared" ca="1" si="335"/>
        <v>-1.478186153836927</v>
      </c>
      <c r="N749" s="304">
        <f t="shared" ca="1" si="336"/>
        <v>-84.693827949531752</v>
      </c>
      <c r="P749" s="310">
        <f t="shared" ca="1" si="337"/>
        <v>23</v>
      </c>
      <c r="Q749" s="304">
        <f t="shared" ca="1" si="338"/>
        <v>0</v>
      </c>
      <c r="R749" s="306">
        <f t="shared" ca="1" si="339"/>
        <v>0</v>
      </c>
      <c r="S749" s="307">
        <f t="shared" ca="1" si="340"/>
        <v>7.4799999999999969</v>
      </c>
      <c r="T749" s="304">
        <f t="shared" ca="1" si="320"/>
        <v>73.37879999999997</v>
      </c>
      <c r="U749" s="311">
        <f t="shared" ca="1" si="321"/>
        <v>0</v>
      </c>
      <c r="V749" s="306">
        <f t="shared" ca="1" si="322"/>
        <v>1.2263523366424272</v>
      </c>
      <c r="W749" s="304">
        <f t="shared" ca="1" si="323"/>
        <v>57.972917950664623</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2.0176058849839835</v>
      </c>
      <c r="AH749" s="304">
        <f t="shared" ca="1" si="347"/>
        <v>-7.7503550598716044</v>
      </c>
    </row>
    <row r="750" spans="1:34" x14ac:dyDescent="0.2">
      <c r="A750" s="347">
        <f t="shared" ca="1" si="325"/>
        <v>1E-4</v>
      </c>
      <c r="B750" s="304">
        <f t="shared" ca="1" si="326"/>
        <v>34.72190000000095</v>
      </c>
      <c r="D750" s="306">
        <f t="shared" ca="1" si="327"/>
        <v>-0.7167394051286804</v>
      </c>
      <c r="E750" s="307">
        <f t="shared" ca="1" si="328"/>
        <v>-2.0928223207680565</v>
      </c>
      <c r="F750" s="304">
        <f t="shared" ca="1" si="329"/>
        <v>2.2121529425356665</v>
      </c>
      <c r="G750" s="306">
        <f t="shared" ca="1" si="330"/>
        <v>11.28864552522238</v>
      </c>
      <c r="H750" s="307">
        <f t="shared" ca="1" si="331"/>
        <v>-121.54652831139317</v>
      </c>
      <c r="I750" s="304">
        <f t="shared" ca="1" si="332"/>
        <v>122.0696197354052</v>
      </c>
      <c r="J750" s="306">
        <f t="shared" ca="1" si="333"/>
        <v>786.02923903053897</v>
      </c>
      <c r="K750" s="307">
        <f t="shared" ca="1" si="334"/>
        <v>-11.045547290275726</v>
      </c>
      <c r="L750" s="304">
        <f t="shared" ca="1" si="319"/>
        <v>786.10684307279121</v>
      </c>
      <c r="M750" s="306">
        <f t="shared" ca="1" si="335"/>
        <v>-1.4781868970256913</v>
      </c>
      <c r="N750" s="304">
        <f t="shared" ca="1" si="336"/>
        <v>-84.69387053111133</v>
      </c>
      <c r="P750" s="310">
        <f t="shared" ca="1" si="337"/>
        <v>23</v>
      </c>
      <c r="Q750" s="304">
        <f t="shared" ca="1" si="338"/>
        <v>0</v>
      </c>
      <c r="R750" s="306">
        <f t="shared" ca="1" si="339"/>
        <v>0</v>
      </c>
      <c r="S750" s="307">
        <f t="shared" ca="1" si="340"/>
        <v>7.4799999999999969</v>
      </c>
      <c r="T750" s="304">
        <f t="shared" ca="1" si="320"/>
        <v>73.37879999999997</v>
      </c>
      <c r="U750" s="311">
        <f t="shared" ca="1" si="321"/>
        <v>0</v>
      </c>
      <c r="V750" s="306">
        <f t="shared" ca="1" si="322"/>
        <v>1.2263538272311942</v>
      </c>
      <c r="W750" s="304">
        <f t="shared" ca="1" si="323"/>
        <v>57.97318005121511</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2.0175715187351262</v>
      </c>
      <c r="AH750" s="304">
        <f t="shared" ca="1" si="347"/>
        <v>-7.7503901003562365</v>
      </c>
    </row>
    <row r="751" spans="1:34" x14ac:dyDescent="0.2">
      <c r="A751" s="347">
        <f t="shared" ca="1" si="325"/>
        <v>1E-4</v>
      </c>
      <c r="B751" s="304">
        <f t="shared" ca="1" si="326"/>
        <v>34.722000000000953</v>
      </c>
      <c r="D751" s="306">
        <f t="shared" ca="1" si="327"/>
        <v>-0.71673691022333352</v>
      </c>
      <c r="E751" s="307">
        <f t="shared" ca="1" si="328"/>
        <v>-2.0927868980707736</v>
      </c>
      <c r="F751" s="304">
        <f t="shared" ca="1" si="329"/>
        <v>2.2121186223196037</v>
      </c>
      <c r="G751" s="306">
        <f t="shared" ca="1" si="330"/>
        <v>11.288573851531357</v>
      </c>
      <c r="H751" s="307">
        <f t="shared" ca="1" si="331"/>
        <v>-121.54673759008298</v>
      </c>
      <c r="I751" s="304">
        <f t="shared" ca="1" si="332"/>
        <v>122.06982148915418</v>
      </c>
      <c r="J751" s="306">
        <f t="shared" ca="1" si="333"/>
        <v>786.02923903053897</v>
      </c>
      <c r="K751" s="307">
        <f t="shared" ca="1" si="334"/>
        <v>-11.057701953570801</v>
      </c>
      <c r="L751" s="304">
        <f t="shared" ca="1" si="319"/>
        <v>786.10701395129547</v>
      </c>
      <c r="M751" s="306">
        <f t="shared" ca="1" si="335"/>
        <v>-1.4781876402072802</v>
      </c>
      <c r="N751" s="304">
        <f t="shared" ca="1" si="336"/>
        <v>-84.693913112279787</v>
      </c>
      <c r="P751" s="310">
        <f t="shared" ca="1" si="337"/>
        <v>23</v>
      </c>
      <c r="Q751" s="304">
        <f t="shared" ca="1" si="338"/>
        <v>0</v>
      </c>
      <c r="R751" s="306">
        <f t="shared" ca="1" si="339"/>
        <v>0</v>
      </c>
      <c r="S751" s="307">
        <f t="shared" ca="1" si="340"/>
        <v>7.4799999999999969</v>
      </c>
      <c r="T751" s="304">
        <f t="shared" ca="1" si="320"/>
        <v>73.37879999999997</v>
      </c>
      <c r="U751" s="311">
        <f t="shared" ca="1" si="321"/>
        <v>0</v>
      </c>
      <c r="V751" s="306">
        <f t="shared" ca="1" si="322"/>
        <v>1.22635531782434</v>
      </c>
      <c r="W751" s="304">
        <f t="shared" ca="1" si="323"/>
        <v>57.97344214949095</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2.0175371527784494</v>
      </c>
      <c r="AH751" s="304">
        <f t="shared" ca="1" si="347"/>
        <v>-7.750425140536783</v>
      </c>
    </row>
    <row r="752" spans="1:34" x14ac:dyDescent="0.2">
      <c r="A752" s="347">
        <f t="shared" ca="1" si="325"/>
        <v>1E-4</v>
      </c>
      <c r="B752" s="304">
        <f t="shared" ca="1" si="326"/>
        <v>34.722100000000957</v>
      </c>
      <c r="D752" s="306">
        <f t="shared" ca="1" si="327"/>
        <v>-0.71673441529298332</v>
      </c>
      <c r="E752" s="307">
        <f t="shared" ca="1" si="328"/>
        <v>-2.0927514756808741</v>
      </c>
      <c r="F752" s="304">
        <f t="shared" ca="1" si="329"/>
        <v>2.2120843024238135</v>
      </c>
      <c r="G752" s="306">
        <f t="shared" ca="1" si="330"/>
        <v>11.288502178089828</v>
      </c>
      <c r="H752" s="307">
        <f t="shared" ca="1" si="331"/>
        <v>-121.54694686523055</v>
      </c>
      <c r="I752" s="304">
        <f t="shared" ca="1" si="332"/>
        <v>122.07002323946661</v>
      </c>
      <c r="J752" s="306">
        <f t="shared" ca="1" si="333"/>
        <v>786.02923903053897</v>
      </c>
      <c r="K752" s="307">
        <f t="shared" ca="1" si="334"/>
        <v>-11.069856637793567</v>
      </c>
      <c r="L752" s="304">
        <f t="shared" ca="1" si="319"/>
        <v>786.10718501799067</v>
      </c>
      <c r="M752" s="306">
        <f t="shared" ca="1" si="335"/>
        <v>-1.478188383381694</v>
      </c>
      <c r="N752" s="304">
        <f t="shared" ca="1" si="336"/>
        <v>-84.69395569303714</v>
      </c>
      <c r="P752" s="310">
        <f t="shared" ca="1" si="337"/>
        <v>23</v>
      </c>
      <c r="Q752" s="304">
        <f t="shared" ca="1" si="338"/>
        <v>0</v>
      </c>
      <c r="R752" s="306">
        <f t="shared" ca="1" si="339"/>
        <v>0</v>
      </c>
      <c r="S752" s="307">
        <f t="shared" ca="1" si="340"/>
        <v>7.4799999999999969</v>
      </c>
      <c r="T752" s="304">
        <f t="shared" ca="1" si="320"/>
        <v>73.37879999999997</v>
      </c>
      <c r="U752" s="311">
        <f t="shared" ca="1" si="321"/>
        <v>0</v>
      </c>
      <c r="V752" s="306">
        <f t="shared" ca="1" si="322"/>
        <v>1.2263568084218657</v>
      </c>
      <c r="W752" s="304">
        <f t="shared" ca="1" si="323"/>
        <v>57.973704245492229</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2.0175027871139664</v>
      </c>
      <c r="AH752" s="304">
        <f t="shared" ca="1" si="347"/>
        <v>-7.7504601804132323</v>
      </c>
    </row>
    <row r="753" spans="1:34" x14ac:dyDescent="0.2">
      <c r="A753" s="347">
        <f t="shared" ca="1" si="325"/>
        <v>1E-4</v>
      </c>
      <c r="B753" s="304">
        <f t="shared" ca="1" si="326"/>
        <v>34.72220000000096</v>
      </c>
      <c r="D753" s="306">
        <f t="shared" ca="1" si="327"/>
        <v>-0.71673192033763056</v>
      </c>
      <c r="E753" s="307">
        <f t="shared" ca="1" si="328"/>
        <v>-2.0927160535983464</v>
      </c>
      <c r="F753" s="304">
        <f t="shared" ca="1" si="329"/>
        <v>2.2120499828482867</v>
      </c>
      <c r="G753" s="306">
        <f t="shared" ca="1" si="330"/>
        <v>11.288430504897795</v>
      </c>
      <c r="H753" s="307">
        <f t="shared" ca="1" si="331"/>
        <v>-121.54715613683591</v>
      </c>
      <c r="I753" s="304">
        <f t="shared" ca="1" si="332"/>
        <v>122.07022498634248</v>
      </c>
      <c r="J753" s="306">
        <f t="shared" ca="1" si="333"/>
        <v>786.02923903053897</v>
      </c>
      <c r="K753" s="307">
        <f t="shared" ca="1" si="334"/>
        <v>-11.08201134294367</v>
      </c>
      <c r="L753" s="304">
        <f t="shared" ca="1" si="319"/>
        <v>786.10735627287784</v>
      </c>
      <c r="M753" s="306">
        <f t="shared" ca="1" si="335"/>
        <v>-1.4781891265489326</v>
      </c>
      <c r="N753" s="304">
        <f t="shared" ca="1" si="336"/>
        <v>-84.693998273383386</v>
      </c>
      <c r="P753" s="310">
        <f t="shared" ca="1" si="337"/>
        <v>23</v>
      </c>
      <c r="Q753" s="304">
        <f t="shared" ca="1" si="338"/>
        <v>0</v>
      </c>
      <c r="R753" s="306">
        <f t="shared" ca="1" si="339"/>
        <v>0</v>
      </c>
      <c r="S753" s="307">
        <f t="shared" ca="1" si="340"/>
        <v>7.4799999999999969</v>
      </c>
      <c r="T753" s="304">
        <f t="shared" ca="1" si="320"/>
        <v>73.37879999999997</v>
      </c>
      <c r="U753" s="311">
        <f t="shared" ca="1" si="321"/>
        <v>0</v>
      </c>
      <c r="V753" s="306">
        <f t="shared" ca="1" si="322"/>
        <v>1.22635829902377</v>
      </c>
      <c r="W753" s="304">
        <f t="shared" ca="1" si="323"/>
        <v>57.973966339218862</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2.0174684217416665</v>
      </c>
      <c r="AH753" s="304">
        <f t="shared" ca="1" si="347"/>
        <v>-7.750495219985595</v>
      </c>
    </row>
    <row r="754" spans="1:34" x14ac:dyDescent="0.2">
      <c r="A754" s="347">
        <f t="shared" ca="1" si="325"/>
        <v>1E-4</v>
      </c>
      <c r="B754" s="304">
        <f t="shared" ca="1" si="326"/>
        <v>34.722300000000963</v>
      </c>
      <c r="D754" s="306">
        <f t="shared" ca="1" si="327"/>
        <v>-0.71672942535727568</v>
      </c>
      <c r="E754" s="307">
        <f t="shared" ca="1" si="328"/>
        <v>-2.0926806318232014</v>
      </c>
      <c r="F754" s="304">
        <f t="shared" ca="1" si="329"/>
        <v>2.2120156635930326</v>
      </c>
      <c r="G754" s="306">
        <f t="shared" ca="1" si="330"/>
        <v>11.288358831955259</v>
      </c>
      <c r="H754" s="307">
        <f t="shared" ca="1" si="331"/>
        <v>-121.5473654048991</v>
      </c>
      <c r="I754" s="304">
        <f t="shared" ca="1" si="332"/>
        <v>122.07042672978187</v>
      </c>
      <c r="J754" s="306">
        <f t="shared" ca="1" si="333"/>
        <v>786.02923903053897</v>
      </c>
      <c r="K754" s="307">
        <f t="shared" ca="1" si="334"/>
        <v>-11.094166069020757</v>
      </c>
      <c r="L754" s="304">
        <f t="shared" ca="1" si="319"/>
        <v>786.10752771595776</v>
      </c>
      <c r="M754" s="306">
        <f t="shared" ca="1" si="335"/>
        <v>-1.4781898697089961</v>
      </c>
      <c r="N754" s="304">
        <f t="shared" ca="1" si="336"/>
        <v>-84.694040853318526</v>
      </c>
      <c r="P754" s="310">
        <f t="shared" ca="1" si="337"/>
        <v>23</v>
      </c>
      <c r="Q754" s="304">
        <f t="shared" ca="1" si="338"/>
        <v>0</v>
      </c>
      <c r="R754" s="306">
        <f t="shared" ca="1" si="339"/>
        <v>0</v>
      </c>
      <c r="S754" s="307">
        <f t="shared" ca="1" si="340"/>
        <v>7.4799999999999969</v>
      </c>
      <c r="T754" s="304">
        <f t="shared" ca="1" si="320"/>
        <v>73.37879999999997</v>
      </c>
      <c r="U754" s="311">
        <f t="shared" ca="1" si="321"/>
        <v>0</v>
      </c>
      <c r="V754" s="306">
        <f t="shared" ca="1" si="322"/>
        <v>1.226359789630054</v>
      </c>
      <c r="W754" s="304">
        <f t="shared" ca="1" si="323"/>
        <v>57.974228430670934</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2.0174340566615578</v>
      </c>
      <c r="AH754" s="304">
        <f t="shared" ca="1" si="347"/>
        <v>-7.7505302592538614</v>
      </c>
    </row>
    <row r="755" spans="1:34" x14ac:dyDescent="0.2">
      <c r="A755" s="347">
        <f t="shared" ca="1" si="325"/>
        <v>1E-4</v>
      </c>
      <c r="B755" s="304">
        <f t="shared" ca="1" si="326"/>
        <v>34.722400000000967</v>
      </c>
      <c r="D755" s="306">
        <f t="shared" ca="1" si="327"/>
        <v>-0.71672693035192125</v>
      </c>
      <c r="E755" s="307">
        <f t="shared" ca="1" si="328"/>
        <v>-2.0926452103554265</v>
      </c>
      <c r="F755" s="304">
        <f t="shared" ca="1" si="329"/>
        <v>2.211981344658041</v>
      </c>
      <c r="G755" s="306">
        <f t="shared" ca="1" si="330"/>
        <v>11.288287159262223</v>
      </c>
      <c r="H755" s="307">
        <f t="shared" ca="1" si="331"/>
        <v>-121.54757466942013</v>
      </c>
      <c r="I755" s="304">
        <f t="shared" ca="1" si="332"/>
        <v>122.07062846978477</v>
      </c>
      <c r="J755" s="306">
        <f t="shared" ca="1" si="333"/>
        <v>786.02923903053897</v>
      </c>
      <c r="K755" s="307">
        <f t="shared" ca="1" si="334"/>
        <v>-11.106320816024473</v>
      </c>
      <c r="L755" s="304">
        <f t="shared" ca="1" si="319"/>
        <v>786.10769934723112</v>
      </c>
      <c r="M755" s="306">
        <f t="shared" ca="1" si="335"/>
        <v>-1.4781906128618851</v>
      </c>
      <c r="N755" s="304">
        <f t="shared" ca="1" si="336"/>
        <v>-84.694083432842604</v>
      </c>
      <c r="P755" s="310">
        <f t="shared" ca="1" si="337"/>
        <v>23</v>
      </c>
      <c r="Q755" s="304">
        <f t="shared" ca="1" si="338"/>
        <v>0</v>
      </c>
      <c r="R755" s="306">
        <f t="shared" ca="1" si="339"/>
        <v>0</v>
      </c>
      <c r="S755" s="307">
        <f t="shared" ca="1" si="340"/>
        <v>7.4799999999999969</v>
      </c>
      <c r="T755" s="304">
        <f t="shared" ca="1" si="320"/>
        <v>73.37879999999997</v>
      </c>
      <c r="U755" s="311">
        <f t="shared" ca="1" si="321"/>
        <v>0</v>
      </c>
      <c r="V755" s="306">
        <f t="shared" ca="1" si="322"/>
        <v>1.2263612802407167</v>
      </c>
      <c r="W755" s="304">
        <f t="shared" ca="1" si="323"/>
        <v>57.974490519848388</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2.0173996918736314</v>
      </c>
      <c r="AH755" s="304">
        <f t="shared" ca="1" si="347"/>
        <v>-7.7505652982180422</v>
      </c>
    </row>
    <row r="756" spans="1:34" x14ac:dyDescent="0.2">
      <c r="A756" s="347">
        <f t="shared" ca="1" si="325"/>
        <v>1E-4</v>
      </c>
      <c r="B756" s="304">
        <f t="shared" ca="1" si="326"/>
        <v>34.72250000000097</v>
      </c>
      <c r="D756" s="306">
        <f t="shared" ca="1" si="327"/>
        <v>-0.71672443532156271</v>
      </c>
      <c r="E756" s="307">
        <f t="shared" ca="1" si="328"/>
        <v>-2.0926097891950306</v>
      </c>
      <c r="F756" s="304">
        <f t="shared" ca="1" si="329"/>
        <v>2.2119470260433189</v>
      </c>
      <c r="G756" s="306">
        <f t="shared" ca="1" si="330"/>
        <v>11.288215486818691</v>
      </c>
      <c r="H756" s="307">
        <f t="shared" ca="1" si="331"/>
        <v>-121.54778393039905</v>
      </c>
      <c r="I756" s="304">
        <f t="shared" ca="1" si="332"/>
        <v>122.0708302063512</v>
      </c>
      <c r="J756" s="306">
        <f t="shared" ca="1" si="333"/>
        <v>786.02923903053897</v>
      </c>
      <c r="K756" s="307">
        <f t="shared" ca="1" si="334"/>
        <v>-11.118475583954464</v>
      </c>
      <c r="L756" s="304">
        <f t="shared" ca="1" si="319"/>
        <v>786.10787116669883</v>
      </c>
      <c r="M756" s="306">
        <f t="shared" ca="1" si="335"/>
        <v>-1.478191356007599</v>
      </c>
      <c r="N756" s="304">
        <f t="shared" ca="1" si="336"/>
        <v>-84.694126011955575</v>
      </c>
      <c r="P756" s="310">
        <f t="shared" ca="1" si="337"/>
        <v>23</v>
      </c>
      <c r="Q756" s="304">
        <f t="shared" ca="1" si="338"/>
        <v>0</v>
      </c>
      <c r="R756" s="306">
        <f t="shared" ca="1" si="339"/>
        <v>0</v>
      </c>
      <c r="S756" s="307">
        <f t="shared" ca="1" si="340"/>
        <v>7.4799999999999969</v>
      </c>
      <c r="T756" s="304">
        <f t="shared" ca="1" si="320"/>
        <v>73.37879999999997</v>
      </c>
      <c r="U756" s="311">
        <f t="shared" ca="1" si="321"/>
        <v>0</v>
      </c>
      <c r="V756" s="306">
        <f t="shared" ca="1" si="322"/>
        <v>1.2263627708557587</v>
      </c>
      <c r="W756" s="304">
        <f t="shared" ca="1" si="323"/>
        <v>57.974752606751238</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2.0173653273778944</v>
      </c>
      <c r="AH756" s="304">
        <f t="shared" ca="1" si="347"/>
        <v>-7.7506003368781302</v>
      </c>
    </row>
    <row r="757" spans="1:34" x14ac:dyDescent="0.2">
      <c r="A757" s="347">
        <f t="shared" ca="1" si="325"/>
        <v>1E-4</v>
      </c>
      <c r="B757" s="304">
        <f t="shared" ca="1" si="326"/>
        <v>34.722600000000973</v>
      </c>
      <c r="D757" s="306">
        <f t="shared" ca="1" si="327"/>
        <v>-0.71672194026620695</v>
      </c>
      <c r="E757" s="307">
        <f t="shared" ca="1" si="328"/>
        <v>-2.0925743683420128</v>
      </c>
      <c r="F757" s="304">
        <f t="shared" ca="1" si="329"/>
        <v>2.2119127077488683</v>
      </c>
      <c r="G757" s="306">
        <f t="shared" ca="1" si="330"/>
        <v>11.288143814624664</v>
      </c>
      <c r="H757" s="307">
        <f t="shared" ca="1" si="331"/>
        <v>-121.54799318783589</v>
      </c>
      <c r="I757" s="304">
        <f t="shared" ca="1" si="332"/>
        <v>122.07103193948123</v>
      </c>
      <c r="J757" s="306">
        <f t="shared" ca="1" si="333"/>
        <v>786.02923903053897</v>
      </c>
      <c r="K757" s="307">
        <f t="shared" ca="1" si="334"/>
        <v>-11.130630372810375</v>
      </c>
      <c r="L757" s="304">
        <f t="shared" ca="1" si="319"/>
        <v>786.10804317436191</v>
      </c>
      <c r="M757" s="306">
        <f t="shared" ca="1" si="335"/>
        <v>-1.4781920991461384</v>
      </c>
      <c r="N757" s="304">
        <f t="shared" ca="1" si="336"/>
        <v>-84.694168590657469</v>
      </c>
      <c r="P757" s="310">
        <f t="shared" ca="1" si="337"/>
        <v>23</v>
      </c>
      <c r="Q757" s="304">
        <f t="shared" ca="1" si="338"/>
        <v>0</v>
      </c>
      <c r="R757" s="306">
        <f t="shared" ca="1" si="339"/>
        <v>0</v>
      </c>
      <c r="S757" s="307">
        <f t="shared" ca="1" si="340"/>
        <v>7.4799999999999969</v>
      </c>
      <c r="T757" s="304">
        <f t="shared" ca="1" si="320"/>
        <v>73.37879999999997</v>
      </c>
      <c r="U757" s="311">
        <f t="shared" ca="1" si="321"/>
        <v>0</v>
      </c>
      <c r="V757" s="306">
        <f t="shared" ca="1" si="322"/>
        <v>1.2263642614751797</v>
      </c>
      <c r="W757" s="304">
        <f t="shared" ca="1" si="323"/>
        <v>57.975014691379492</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2.0173309631743459</v>
      </c>
      <c r="AH757" s="304">
        <f t="shared" ca="1" si="347"/>
        <v>-7.7506353752341264</v>
      </c>
    </row>
    <row r="758" spans="1:34" x14ac:dyDescent="0.2">
      <c r="A758" s="347">
        <f t="shared" ca="1" si="325"/>
        <v>1E-4</v>
      </c>
      <c r="B758" s="304">
        <f t="shared" ca="1" si="326"/>
        <v>34.722700000000977</v>
      </c>
      <c r="D758" s="306">
        <f t="shared" ca="1" si="327"/>
        <v>-0.71671944518585018</v>
      </c>
      <c r="E758" s="307">
        <f t="shared" ca="1" si="328"/>
        <v>-2.0925389477963705</v>
      </c>
      <c r="F758" s="304">
        <f t="shared" ca="1" si="329"/>
        <v>2.2118783897746854</v>
      </c>
      <c r="G758" s="306">
        <f t="shared" ca="1" si="330"/>
        <v>11.288072142680146</v>
      </c>
      <c r="H758" s="307">
        <f t="shared" ca="1" si="331"/>
        <v>-121.54820244173067</v>
      </c>
      <c r="I758" s="304">
        <f t="shared" ca="1" si="332"/>
        <v>122.07123366917487</v>
      </c>
      <c r="J758" s="306">
        <f t="shared" ca="1" si="333"/>
        <v>786.02923903053897</v>
      </c>
      <c r="K758" s="307">
        <f t="shared" ca="1" si="334"/>
        <v>-11.142785182591853</v>
      </c>
      <c r="L758" s="304">
        <f t="shared" ca="1" si="319"/>
        <v>786.10821537022093</v>
      </c>
      <c r="M758" s="306">
        <f t="shared" ca="1" si="335"/>
        <v>-1.4781928422775032</v>
      </c>
      <c r="N758" s="304">
        <f t="shared" ca="1" si="336"/>
        <v>-84.6942111689483</v>
      </c>
      <c r="P758" s="310">
        <f t="shared" ca="1" si="337"/>
        <v>23</v>
      </c>
      <c r="Q758" s="304">
        <f t="shared" ca="1" si="338"/>
        <v>0</v>
      </c>
      <c r="R758" s="306">
        <f t="shared" ca="1" si="339"/>
        <v>0</v>
      </c>
      <c r="S758" s="307">
        <f t="shared" ca="1" si="340"/>
        <v>7.4799999999999969</v>
      </c>
      <c r="T758" s="304">
        <f t="shared" ca="1" si="320"/>
        <v>73.37879999999997</v>
      </c>
      <c r="U758" s="311">
        <f t="shared" ca="1" si="321"/>
        <v>0</v>
      </c>
      <c r="V758" s="306">
        <f t="shared" ca="1" si="322"/>
        <v>1.2263657520989799</v>
      </c>
      <c r="W758" s="304">
        <f t="shared" ca="1" si="323"/>
        <v>57.975276773733171</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2.017296599262985</v>
      </c>
      <c r="AH758" s="304">
        <f t="shared" ca="1" si="347"/>
        <v>-7.7506704132860316</v>
      </c>
    </row>
    <row r="759" spans="1:34" x14ac:dyDescent="0.2">
      <c r="A759" s="347">
        <f t="shared" ca="1" si="325"/>
        <v>1E-4</v>
      </c>
      <c r="B759" s="304">
        <f t="shared" ca="1" si="326"/>
        <v>34.72280000000098</v>
      </c>
      <c r="D759" s="306">
        <f t="shared" ca="1" si="327"/>
        <v>-0.71671695008049408</v>
      </c>
      <c r="E759" s="307">
        <f t="shared" ca="1" si="328"/>
        <v>-2.0925035275581028</v>
      </c>
      <c r="F759" s="304">
        <f t="shared" ca="1" si="329"/>
        <v>2.2118440721207699</v>
      </c>
      <c r="G759" s="306">
        <f t="shared" ca="1" si="330"/>
        <v>11.288000470985139</v>
      </c>
      <c r="H759" s="307">
        <f t="shared" ca="1" si="331"/>
        <v>-121.54841169208342</v>
      </c>
      <c r="I759" s="304">
        <f t="shared" ca="1" si="332"/>
        <v>122.07143539543213</v>
      </c>
      <c r="J759" s="306">
        <f t="shared" ca="1" si="333"/>
        <v>786.02923903053897</v>
      </c>
      <c r="K759" s="307">
        <f t="shared" ca="1" si="334"/>
        <v>-11.154940013298543</v>
      </c>
      <c r="L759" s="304">
        <f t="shared" ca="1" si="319"/>
        <v>786.10838775427681</v>
      </c>
      <c r="M759" s="306">
        <f t="shared" ca="1" si="335"/>
        <v>-1.4781935854016937</v>
      </c>
      <c r="N759" s="304">
        <f t="shared" ca="1" si="336"/>
        <v>-84.694253746828068</v>
      </c>
      <c r="P759" s="310">
        <f t="shared" ca="1" si="337"/>
        <v>23</v>
      </c>
      <c r="Q759" s="304">
        <f t="shared" ca="1" si="338"/>
        <v>0</v>
      </c>
      <c r="R759" s="306">
        <f t="shared" ca="1" si="339"/>
        <v>0</v>
      </c>
      <c r="S759" s="307">
        <f t="shared" ca="1" si="340"/>
        <v>7.4799999999999969</v>
      </c>
      <c r="T759" s="304">
        <f t="shared" ca="1" si="320"/>
        <v>73.37879999999997</v>
      </c>
      <c r="U759" s="311">
        <f t="shared" ca="1" si="321"/>
        <v>0</v>
      </c>
      <c r="V759" s="306">
        <f t="shared" ca="1" si="322"/>
        <v>1.2263672427271592</v>
      </c>
      <c r="W759" s="304">
        <f t="shared" ca="1" si="323"/>
        <v>57.975538853812232</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2.0172622356438081</v>
      </c>
      <c r="AH759" s="304">
        <f t="shared" ca="1" si="347"/>
        <v>-7.7507054510338493</v>
      </c>
    </row>
    <row r="760" spans="1:34" x14ac:dyDescent="0.2">
      <c r="A760" s="347">
        <f t="shared" ca="1" si="325"/>
        <v>1E-4</v>
      </c>
      <c r="B760" s="304">
        <f t="shared" ca="1" si="326"/>
        <v>34.722900000000983</v>
      </c>
      <c r="D760" s="306">
        <f t="shared" ca="1" si="327"/>
        <v>-0.71671445495013975</v>
      </c>
      <c r="E760" s="307">
        <f t="shared" ca="1" si="328"/>
        <v>-2.0924681076272122</v>
      </c>
      <c r="F760" s="304">
        <f t="shared" ca="1" si="329"/>
        <v>2.2118097547871254</v>
      </c>
      <c r="G760" s="306">
        <f t="shared" ca="1" si="330"/>
        <v>11.287928799539644</v>
      </c>
      <c r="H760" s="307">
        <f t="shared" ca="1" si="331"/>
        <v>-121.54862093889419</v>
      </c>
      <c r="I760" s="304">
        <f t="shared" ca="1" si="332"/>
        <v>122.07163711825308</v>
      </c>
      <c r="J760" s="306">
        <f t="shared" ca="1" si="333"/>
        <v>786.02923903053897</v>
      </c>
      <c r="K760" s="307">
        <f t="shared" ca="1" si="334"/>
        <v>-11.167094864930091</v>
      </c>
      <c r="L760" s="304">
        <f t="shared" ca="1" si="319"/>
        <v>786.10856032653055</v>
      </c>
      <c r="M760" s="306">
        <f t="shared" ca="1" si="335"/>
        <v>-1.4781943285187096</v>
      </c>
      <c r="N760" s="304">
        <f t="shared" ca="1" si="336"/>
        <v>-84.694296324296758</v>
      </c>
      <c r="P760" s="310">
        <f t="shared" ca="1" si="337"/>
        <v>23</v>
      </c>
      <c r="Q760" s="304">
        <f t="shared" ca="1" si="338"/>
        <v>0</v>
      </c>
      <c r="R760" s="306">
        <f t="shared" ca="1" si="339"/>
        <v>0</v>
      </c>
      <c r="S760" s="307">
        <f t="shared" ca="1" si="340"/>
        <v>7.4799999999999969</v>
      </c>
      <c r="T760" s="304">
        <f t="shared" ca="1" si="320"/>
        <v>73.37879999999997</v>
      </c>
      <c r="U760" s="311">
        <f t="shared" ca="1" si="321"/>
        <v>0</v>
      </c>
      <c r="V760" s="306">
        <f t="shared" ca="1" si="322"/>
        <v>1.2263687333597177</v>
      </c>
      <c r="W760" s="304">
        <f t="shared" ca="1" si="323"/>
        <v>57.975800931616739</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2.0172278723168224</v>
      </c>
      <c r="AH760" s="304">
        <f t="shared" ca="1" si="347"/>
        <v>-7.7507404884775744</v>
      </c>
    </row>
    <row r="761" spans="1:34" x14ac:dyDescent="0.2">
      <c r="A761" s="347">
        <f t="shared" ca="1" si="325"/>
        <v>1E-4</v>
      </c>
      <c r="B761" s="304">
        <f t="shared" ca="1" si="326"/>
        <v>34.723000000000987</v>
      </c>
      <c r="D761" s="306">
        <f t="shared" ca="1" si="327"/>
        <v>-0.71671195979478941</v>
      </c>
      <c r="E761" s="307">
        <f t="shared" ca="1" si="328"/>
        <v>-2.0924326880036919</v>
      </c>
      <c r="F761" s="304">
        <f t="shared" ca="1" si="329"/>
        <v>2.2117754377737455</v>
      </c>
      <c r="G761" s="306">
        <f t="shared" ca="1" si="330"/>
        <v>11.287857128343665</v>
      </c>
      <c r="H761" s="307">
        <f t="shared" ca="1" si="331"/>
        <v>-121.54883018216299</v>
      </c>
      <c r="I761" s="304">
        <f t="shared" ca="1" si="332"/>
        <v>122.07183883763771</v>
      </c>
      <c r="J761" s="306">
        <f t="shared" ca="1" si="333"/>
        <v>786.02923903053897</v>
      </c>
      <c r="K761" s="307">
        <f t="shared" ca="1" si="334"/>
        <v>-11.179249737486144</v>
      </c>
      <c r="L761" s="304">
        <f t="shared" ca="1" si="319"/>
        <v>786.10873308698285</v>
      </c>
      <c r="M761" s="306">
        <f t="shared" ca="1" si="335"/>
        <v>-1.4781950716285512</v>
      </c>
      <c r="N761" s="304">
        <f t="shared" ca="1" si="336"/>
        <v>-84.694338901354399</v>
      </c>
      <c r="P761" s="310">
        <f t="shared" ca="1" si="337"/>
        <v>23</v>
      </c>
      <c r="Q761" s="304">
        <f t="shared" ca="1" si="338"/>
        <v>0</v>
      </c>
      <c r="R761" s="306">
        <f t="shared" ca="1" si="339"/>
        <v>0</v>
      </c>
      <c r="S761" s="307">
        <f t="shared" ca="1" si="340"/>
        <v>7.4799999999999969</v>
      </c>
      <c r="T761" s="304">
        <f t="shared" ca="1" si="320"/>
        <v>73.37879999999997</v>
      </c>
      <c r="U761" s="311">
        <f t="shared" ca="1" si="321"/>
        <v>0</v>
      </c>
      <c r="V761" s="306">
        <f t="shared" ca="1" si="322"/>
        <v>1.2263702239966545</v>
      </c>
      <c r="W761" s="304">
        <f t="shared" ca="1" si="323"/>
        <v>57.976063007146607</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2.0171935092820181</v>
      </c>
      <c r="AH761" s="304">
        <f t="shared" ca="1" si="347"/>
        <v>-7.7507755256172146</v>
      </c>
    </row>
    <row r="762" spans="1:34" x14ac:dyDescent="0.2">
      <c r="A762" s="347">
        <f t="shared" ca="1" si="325"/>
        <v>1E-4</v>
      </c>
      <c r="B762" s="304">
        <f t="shared" ca="1" si="326"/>
        <v>34.72310000000099</v>
      </c>
      <c r="D762" s="306">
        <f t="shared" ca="1" si="327"/>
        <v>-0.71670946461444163</v>
      </c>
      <c r="E762" s="307">
        <f t="shared" ca="1" si="328"/>
        <v>-2.092397268687554</v>
      </c>
      <c r="F762" s="304">
        <f t="shared" ca="1" si="329"/>
        <v>2.2117411210806424</v>
      </c>
      <c r="G762" s="306">
        <f t="shared" ca="1" si="330"/>
        <v>11.287785457397204</v>
      </c>
      <c r="H762" s="307">
        <f t="shared" ca="1" si="331"/>
        <v>-121.54903942188986</v>
      </c>
      <c r="I762" s="304">
        <f t="shared" ca="1" si="332"/>
        <v>122.07204055358606</v>
      </c>
      <c r="J762" s="306">
        <f t="shared" ca="1" si="333"/>
        <v>786.02923903053897</v>
      </c>
      <c r="K762" s="307">
        <f t="shared" ca="1" si="334"/>
        <v>-11.191404630966346</v>
      </c>
      <c r="L762" s="304">
        <f t="shared" ca="1" si="319"/>
        <v>786.10890603563462</v>
      </c>
      <c r="M762" s="306">
        <f t="shared" ca="1" si="335"/>
        <v>-1.4781958147312189</v>
      </c>
      <c r="N762" s="304">
        <f t="shared" ca="1" si="336"/>
        <v>-84.694381478001006</v>
      </c>
      <c r="P762" s="310">
        <f t="shared" ca="1" si="337"/>
        <v>23</v>
      </c>
      <c r="Q762" s="304">
        <f t="shared" ca="1" si="338"/>
        <v>0</v>
      </c>
      <c r="R762" s="306">
        <f t="shared" ca="1" si="339"/>
        <v>0</v>
      </c>
      <c r="S762" s="307">
        <f t="shared" ca="1" si="340"/>
        <v>7.4799999999999969</v>
      </c>
      <c r="T762" s="304">
        <f t="shared" ca="1" si="320"/>
        <v>73.37879999999997</v>
      </c>
      <c r="U762" s="311">
        <f t="shared" ca="1" si="321"/>
        <v>0</v>
      </c>
      <c r="V762" s="306">
        <f t="shared" ca="1" si="322"/>
        <v>1.2263717146379709</v>
      </c>
      <c r="W762" s="304">
        <f t="shared" ca="1" si="323"/>
        <v>57.976325080401914</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2.0171591465394085</v>
      </c>
      <c r="AH762" s="304">
        <f t="shared" ca="1" si="347"/>
        <v>-7.7508105624527586</v>
      </c>
    </row>
    <row r="763" spans="1:34" x14ac:dyDescent="0.2">
      <c r="A763" s="347">
        <f t="shared" ca="1" si="325"/>
        <v>1E-4</v>
      </c>
      <c r="B763" s="304">
        <f t="shared" ca="1" si="326"/>
        <v>34.723200000000993</v>
      </c>
      <c r="D763" s="306">
        <f t="shared" ca="1" si="327"/>
        <v>-0.71670696940909695</v>
      </c>
      <c r="E763" s="307">
        <f t="shared" ca="1" si="328"/>
        <v>-2.0923618496787881</v>
      </c>
      <c r="F763" s="304">
        <f t="shared" ca="1" si="329"/>
        <v>2.2117068047078057</v>
      </c>
      <c r="G763" s="306">
        <f t="shared" ca="1" si="330"/>
        <v>11.287713786700262</v>
      </c>
      <c r="H763" s="307">
        <f t="shared" ca="1" si="331"/>
        <v>-121.54924865807483</v>
      </c>
      <c r="I763" s="304">
        <f t="shared" ca="1" si="332"/>
        <v>122.07224226609819</v>
      </c>
      <c r="J763" s="306">
        <f t="shared" ca="1" si="333"/>
        <v>786.02923903053897</v>
      </c>
      <c r="K763" s="307">
        <f t="shared" ca="1" si="334"/>
        <v>-11.203559545370345</v>
      </c>
      <c r="L763" s="304">
        <f t="shared" ca="1" si="319"/>
        <v>786.10907917248664</v>
      </c>
      <c r="M763" s="306">
        <f t="shared" ca="1" si="335"/>
        <v>-1.4781965578267122</v>
      </c>
      <c r="N763" s="304">
        <f t="shared" ca="1" si="336"/>
        <v>-84.694424054236549</v>
      </c>
      <c r="P763" s="310">
        <f t="shared" ca="1" si="337"/>
        <v>23</v>
      </c>
      <c r="Q763" s="304">
        <f t="shared" ca="1" si="338"/>
        <v>0</v>
      </c>
      <c r="R763" s="306">
        <f t="shared" ca="1" si="339"/>
        <v>0</v>
      </c>
      <c r="S763" s="307">
        <f t="shared" ca="1" si="340"/>
        <v>7.4799999999999969</v>
      </c>
      <c r="T763" s="304">
        <f t="shared" ca="1" si="320"/>
        <v>73.37879999999997</v>
      </c>
      <c r="U763" s="311">
        <f t="shared" ca="1" si="321"/>
        <v>0</v>
      </c>
      <c r="V763" s="306">
        <f t="shared" ca="1" si="322"/>
        <v>1.2263732052836662</v>
      </c>
      <c r="W763" s="304">
        <f t="shared" ca="1" si="323"/>
        <v>57.976587151382645</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2.0171247840889857</v>
      </c>
      <c r="AH763" s="304">
        <f t="shared" ca="1" si="347"/>
        <v>-7.750845598984216</v>
      </c>
    </row>
    <row r="764" spans="1:34" x14ac:dyDescent="0.2">
      <c r="A764" s="347">
        <f t="shared" ca="1" si="325"/>
        <v>1E-4</v>
      </c>
      <c r="B764" s="304">
        <f t="shared" ca="1" si="326"/>
        <v>34.723300000000997</v>
      </c>
      <c r="D764" s="306">
        <f t="shared" ca="1" si="327"/>
        <v>-0.71670447417875871</v>
      </c>
      <c r="E764" s="307">
        <f t="shared" ca="1" si="328"/>
        <v>-2.092326430977395</v>
      </c>
      <c r="F764" s="304">
        <f t="shared" ca="1" si="329"/>
        <v>2.2116724886552381</v>
      </c>
      <c r="G764" s="306">
        <f t="shared" ca="1" si="330"/>
        <v>11.287642116252844</v>
      </c>
      <c r="H764" s="307">
        <f t="shared" ca="1" si="331"/>
        <v>-121.54945789071793</v>
      </c>
      <c r="I764" s="304">
        <f t="shared" ca="1" si="332"/>
        <v>122.0724439751741</v>
      </c>
      <c r="J764" s="306">
        <f t="shared" ca="1" si="333"/>
        <v>786.02923903053897</v>
      </c>
      <c r="K764" s="307">
        <f t="shared" ca="1" si="334"/>
        <v>-11.215714480697784</v>
      </c>
      <c r="L764" s="304">
        <f t="shared" ca="1" si="319"/>
        <v>786.10925249753973</v>
      </c>
      <c r="M764" s="306">
        <f t="shared" ca="1" si="335"/>
        <v>-1.4781973009150318</v>
      </c>
      <c r="N764" s="304">
        <f t="shared" ca="1" si="336"/>
        <v>-84.694466630061058</v>
      </c>
      <c r="P764" s="310">
        <f t="shared" ca="1" si="337"/>
        <v>23</v>
      </c>
      <c r="Q764" s="304">
        <f t="shared" ca="1" si="338"/>
        <v>0</v>
      </c>
      <c r="R764" s="306">
        <f t="shared" ca="1" si="339"/>
        <v>0</v>
      </c>
      <c r="S764" s="307">
        <f t="shared" ca="1" si="340"/>
        <v>7.4799999999999969</v>
      </c>
      <c r="T764" s="304">
        <f t="shared" ca="1" si="320"/>
        <v>73.37879999999997</v>
      </c>
      <c r="U764" s="311">
        <f t="shared" ca="1" si="321"/>
        <v>0</v>
      </c>
      <c r="V764" s="306">
        <f t="shared" ca="1" si="322"/>
        <v>1.2263746959337403</v>
      </c>
      <c r="W764" s="304">
        <f t="shared" ca="1" si="323"/>
        <v>57.976849220088795</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2.0170904219307459</v>
      </c>
      <c r="AH764" s="304">
        <f t="shared" ca="1" si="347"/>
        <v>-7.7508806352115869</v>
      </c>
    </row>
    <row r="765" spans="1:34" x14ac:dyDescent="0.2">
      <c r="A765" s="347">
        <f t="shared" ca="1" si="325"/>
        <v>1E-4</v>
      </c>
      <c r="B765" s="304">
        <f t="shared" ca="1" si="326"/>
        <v>34.723400000001</v>
      </c>
      <c r="D765" s="306">
        <f t="shared" ca="1" si="327"/>
        <v>-0.71670197892342447</v>
      </c>
      <c r="E765" s="307">
        <f t="shared" ca="1" si="328"/>
        <v>-2.0922910125833765</v>
      </c>
      <c r="F765" s="304">
        <f t="shared" ca="1" si="329"/>
        <v>2.2116381729229406</v>
      </c>
      <c r="G765" s="306">
        <f t="shared" ca="1" si="330"/>
        <v>11.287570446054952</v>
      </c>
      <c r="H765" s="307">
        <f t="shared" ca="1" si="331"/>
        <v>-121.54966711981919</v>
      </c>
      <c r="I765" s="304">
        <f t="shared" ca="1" si="332"/>
        <v>122.07264568081379</v>
      </c>
      <c r="J765" s="306">
        <f t="shared" ca="1" si="333"/>
        <v>786.02923903053897</v>
      </c>
      <c r="K765" s="307">
        <f t="shared" ca="1" si="334"/>
        <v>-11.227869436948311</v>
      </c>
      <c r="L765" s="304">
        <f t="shared" ca="1" si="319"/>
        <v>786.10942601079489</v>
      </c>
      <c r="M765" s="306">
        <f t="shared" ca="1" si="335"/>
        <v>-1.4781980439961775</v>
      </c>
      <c r="N765" s="304">
        <f t="shared" ca="1" si="336"/>
        <v>-84.694509205474546</v>
      </c>
      <c r="P765" s="310">
        <f t="shared" ca="1" si="337"/>
        <v>23</v>
      </c>
      <c r="Q765" s="304">
        <f t="shared" ca="1" si="338"/>
        <v>0</v>
      </c>
      <c r="R765" s="306">
        <f t="shared" ca="1" si="339"/>
        <v>0</v>
      </c>
      <c r="S765" s="307">
        <f t="shared" ca="1" si="340"/>
        <v>7.4799999999999969</v>
      </c>
      <c r="T765" s="304">
        <f t="shared" ca="1" si="320"/>
        <v>73.37879999999997</v>
      </c>
      <c r="U765" s="311">
        <f t="shared" ca="1" si="321"/>
        <v>0</v>
      </c>
      <c r="V765" s="306">
        <f t="shared" ca="1" si="322"/>
        <v>1.226376186588193</v>
      </c>
      <c r="W765" s="304">
        <f t="shared" ca="1" si="323"/>
        <v>57.977111286520319</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2.0170560600646956</v>
      </c>
      <c r="AH765" s="304">
        <f t="shared" ca="1" si="347"/>
        <v>-7.7509156711348686</v>
      </c>
    </row>
    <row r="766" spans="1:34" x14ac:dyDescent="0.2">
      <c r="A766" s="347">
        <f t="shared" ca="1" si="325"/>
        <v>1E-4</v>
      </c>
      <c r="B766" s="304">
        <f t="shared" ca="1" si="326"/>
        <v>34.723500000001003</v>
      </c>
      <c r="D766" s="306">
        <f t="shared" ca="1" si="327"/>
        <v>-0.71669948364309533</v>
      </c>
      <c r="E766" s="307">
        <f t="shared" ca="1" si="328"/>
        <v>-2.0922555944967369</v>
      </c>
      <c r="F766" s="304">
        <f t="shared" ca="1" si="329"/>
        <v>2.211603857510918</v>
      </c>
      <c r="G766" s="306">
        <f t="shared" ca="1" si="330"/>
        <v>11.287498776106588</v>
      </c>
      <c r="H766" s="307">
        <f t="shared" ca="1" si="331"/>
        <v>-121.54987634537864</v>
      </c>
      <c r="I766" s="304">
        <f t="shared" ca="1" si="332"/>
        <v>122.07284738301735</v>
      </c>
      <c r="J766" s="306">
        <f t="shared" ca="1" si="333"/>
        <v>786.02923903053897</v>
      </c>
      <c r="K766" s="307">
        <f t="shared" ca="1" si="334"/>
        <v>-11.240024414121571</v>
      </c>
      <c r="L766" s="304">
        <f t="shared" ca="1" si="319"/>
        <v>786.1095997122527</v>
      </c>
      <c r="M766" s="306">
        <f t="shared" ca="1" si="335"/>
        <v>-1.4781987870701494</v>
      </c>
      <c r="N766" s="304">
        <f t="shared" ca="1" si="336"/>
        <v>-84.694551780476999</v>
      </c>
      <c r="P766" s="310">
        <f t="shared" ca="1" si="337"/>
        <v>23</v>
      </c>
      <c r="Q766" s="304">
        <f t="shared" ca="1" si="338"/>
        <v>0</v>
      </c>
      <c r="R766" s="306">
        <f t="shared" ca="1" si="339"/>
        <v>0</v>
      </c>
      <c r="S766" s="307">
        <f t="shared" ca="1" si="340"/>
        <v>7.4799999999999969</v>
      </c>
      <c r="T766" s="304">
        <f t="shared" ca="1" si="320"/>
        <v>73.37879999999997</v>
      </c>
      <c r="U766" s="311">
        <f t="shared" ca="1" si="321"/>
        <v>0</v>
      </c>
      <c r="V766" s="306">
        <f t="shared" ca="1" si="322"/>
        <v>1.2263776772470245</v>
      </c>
      <c r="W766" s="304">
        <f t="shared" ca="1" si="323"/>
        <v>57.977373350677276</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2.0170216984908356</v>
      </c>
      <c r="AH766" s="304">
        <f t="shared" ca="1" si="347"/>
        <v>-7.7509507067540566</v>
      </c>
    </row>
    <row r="767" spans="1:34" x14ac:dyDescent="0.2">
      <c r="A767" s="347">
        <f t="shared" ca="1" si="325"/>
        <v>1E-4</v>
      </c>
      <c r="B767" s="304">
        <f t="shared" ca="1" si="326"/>
        <v>34.723600000001007</v>
      </c>
      <c r="D767" s="306">
        <f t="shared" ca="1" si="327"/>
        <v>-0.7166969883377734</v>
      </c>
      <c r="E767" s="307">
        <f t="shared" ca="1" si="328"/>
        <v>-2.0922201767174684</v>
      </c>
      <c r="F767" s="304">
        <f t="shared" ca="1" si="329"/>
        <v>2.2115695424191637</v>
      </c>
      <c r="G767" s="306">
        <f t="shared" ca="1" si="330"/>
        <v>11.287427106407755</v>
      </c>
      <c r="H767" s="307">
        <f t="shared" ca="1" si="331"/>
        <v>-121.55008556739631</v>
      </c>
      <c r="I767" s="304">
        <f t="shared" ca="1" si="332"/>
        <v>122.07304908178477</v>
      </c>
      <c r="J767" s="306">
        <f t="shared" ca="1" si="333"/>
        <v>786.02923903053897</v>
      </c>
      <c r="K767" s="307">
        <f t="shared" ca="1" si="334"/>
        <v>-11.25217941221721</v>
      </c>
      <c r="L767" s="304">
        <f t="shared" ca="1" si="319"/>
        <v>786.1097736019143</v>
      </c>
      <c r="M767" s="306">
        <f t="shared" ca="1" si="335"/>
        <v>-1.4781995301369475</v>
      </c>
      <c r="N767" s="304">
        <f t="shared" ca="1" si="336"/>
        <v>-84.694594355068432</v>
      </c>
      <c r="P767" s="310">
        <f t="shared" ca="1" si="337"/>
        <v>23</v>
      </c>
      <c r="Q767" s="304">
        <f t="shared" ca="1" si="338"/>
        <v>0</v>
      </c>
      <c r="R767" s="306">
        <f t="shared" ca="1" si="339"/>
        <v>0</v>
      </c>
      <c r="S767" s="307">
        <f t="shared" ca="1" si="340"/>
        <v>7.4799999999999969</v>
      </c>
      <c r="T767" s="304">
        <f t="shared" ca="1" si="320"/>
        <v>73.37879999999997</v>
      </c>
      <c r="U767" s="311">
        <f t="shared" ca="1" si="321"/>
        <v>0</v>
      </c>
      <c r="V767" s="306">
        <f t="shared" ca="1" si="322"/>
        <v>1.2263791679102352</v>
      </c>
      <c r="W767" s="304">
        <f t="shared" ca="1" si="323"/>
        <v>57.977635412559671</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2.016987337209164</v>
      </c>
      <c r="AH767" s="304">
        <f t="shared" ca="1" si="347"/>
        <v>-7.7509857420691581</v>
      </c>
    </row>
    <row r="768" spans="1:34" x14ac:dyDescent="0.2">
      <c r="A768" s="347">
        <f t="shared" ca="1" si="325"/>
        <v>1E-4</v>
      </c>
      <c r="B768" s="304">
        <f t="shared" ca="1" si="326"/>
        <v>34.72370000000101</v>
      </c>
      <c r="D768" s="306">
        <f t="shared" ca="1" si="327"/>
        <v>-0.71669449300746013</v>
      </c>
      <c r="E768" s="307">
        <f t="shared" ca="1" si="328"/>
        <v>-2.0921847592455736</v>
      </c>
      <c r="F768" s="304">
        <f t="shared" ca="1" si="329"/>
        <v>2.2115352276476807</v>
      </c>
      <c r="G768" s="306">
        <f t="shared" ca="1" si="330"/>
        <v>11.287355436958453</v>
      </c>
      <c r="H768" s="307">
        <f t="shared" ca="1" si="331"/>
        <v>-121.55029478587224</v>
      </c>
      <c r="I768" s="304">
        <f t="shared" ca="1" si="332"/>
        <v>122.0732507771161</v>
      </c>
      <c r="J768" s="306">
        <f t="shared" ca="1" si="333"/>
        <v>786.02923903053897</v>
      </c>
      <c r="K768" s="307">
        <f t="shared" ca="1" si="334"/>
        <v>-11.264334431234873</v>
      </c>
      <c r="L768" s="304">
        <f t="shared" ca="1" si="319"/>
        <v>786.10994767978025</v>
      </c>
      <c r="M768" s="306">
        <f t="shared" ca="1" si="335"/>
        <v>-1.4782002731965722</v>
      </c>
      <c r="N768" s="304">
        <f t="shared" ca="1" si="336"/>
        <v>-84.694636929248858</v>
      </c>
      <c r="P768" s="310">
        <f t="shared" ca="1" si="337"/>
        <v>23</v>
      </c>
      <c r="Q768" s="304">
        <f t="shared" ca="1" si="338"/>
        <v>0</v>
      </c>
      <c r="R768" s="306">
        <f t="shared" ca="1" si="339"/>
        <v>0</v>
      </c>
      <c r="S768" s="307">
        <f t="shared" ca="1" si="340"/>
        <v>7.4799999999999969</v>
      </c>
      <c r="T768" s="304">
        <f t="shared" ca="1" si="320"/>
        <v>73.37879999999997</v>
      </c>
      <c r="U768" s="311">
        <f t="shared" ca="1" si="321"/>
        <v>0</v>
      </c>
      <c r="V768" s="306">
        <f t="shared" ca="1" si="322"/>
        <v>1.2263806585778241</v>
      </c>
      <c r="W768" s="304">
        <f t="shared" ca="1" si="323"/>
        <v>57.977897472167456</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2.0169529762196756</v>
      </c>
      <c r="AH768" s="304">
        <f t="shared" ca="1" si="347"/>
        <v>-7.7510207770801731</v>
      </c>
    </row>
    <row r="769" spans="1:34" x14ac:dyDescent="0.2">
      <c r="A769" s="347">
        <f t="shared" ca="1" si="325"/>
        <v>1E-4</v>
      </c>
      <c r="B769" s="304">
        <f t="shared" ca="1" si="326"/>
        <v>34.723800000001013</v>
      </c>
      <c r="D769" s="306">
        <f t="shared" ca="1" si="327"/>
        <v>-0.71669199765215319</v>
      </c>
      <c r="E769" s="307">
        <f t="shared" ca="1" si="328"/>
        <v>-2.092149342081056</v>
      </c>
      <c r="F769" s="304">
        <f t="shared" ca="1" si="329"/>
        <v>2.2115009131964718</v>
      </c>
      <c r="G769" s="306">
        <f t="shared" ca="1" si="330"/>
        <v>11.287283767758687</v>
      </c>
      <c r="H769" s="307">
        <f t="shared" ca="1" si="331"/>
        <v>-121.55050400080644</v>
      </c>
      <c r="I769" s="304">
        <f t="shared" ca="1" si="332"/>
        <v>122.07345246901134</v>
      </c>
      <c r="J769" s="306">
        <f t="shared" ca="1" si="333"/>
        <v>786.02923903053897</v>
      </c>
      <c r="K769" s="307">
        <f t="shared" ca="1" si="334"/>
        <v>-11.276489471174207</v>
      </c>
      <c r="L769" s="304">
        <f t="shared" ca="1" si="319"/>
        <v>786.11012194585157</v>
      </c>
      <c r="M769" s="306">
        <f t="shared" ca="1" si="335"/>
        <v>-1.4782010162490236</v>
      </c>
      <c r="N769" s="304">
        <f t="shared" ca="1" si="336"/>
        <v>-84.694679503018278</v>
      </c>
      <c r="P769" s="310">
        <f t="shared" ca="1" si="337"/>
        <v>23</v>
      </c>
      <c r="Q769" s="304">
        <f t="shared" ca="1" si="338"/>
        <v>0</v>
      </c>
      <c r="R769" s="306">
        <f t="shared" ca="1" si="339"/>
        <v>0</v>
      </c>
      <c r="S769" s="307">
        <f t="shared" ca="1" si="340"/>
        <v>7.4799999999999969</v>
      </c>
      <c r="T769" s="304">
        <f t="shared" ca="1" si="320"/>
        <v>73.37879999999997</v>
      </c>
      <c r="U769" s="311">
        <f t="shared" ca="1" si="321"/>
        <v>0</v>
      </c>
      <c r="V769" s="306">
        <f t="shared" ca="1" si="322"/>
        <v>1.2263821492497919</v>
      </c>
      <c r="W769" s="304">
        <f t="shared" ca="1" si="323"/>
        <v>57.978159529500665</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2.0169186155223811</v>
      </c>
      <c r="AH769" s="304">
        <f t="shared" ca="1" si="347"/>
        <v>-7.7510558117870962</v>
      </c>
    </row>
    <row r="770" spans="1:34" x14ac:dyDescent="0.2">
      <c r="A770" s="347">
        <f t="shared" ca="1" si="325"/>
        <v>1E-4</v>
      </c>
      <c r="B770" s="304">
        <f t="shared" ca="1" si="326"/>
        <v>34.723900000001017</v>
      </c>
      <c r="D770" s="306">
        <f t="shared" ca="1" si="327"/>
        <v>-0.71668950227185413</v>
      </c>
      <c r="E770" s="307">
        <f t="shared" ca="1" si="328"/>
        <v>-2.0921139252239103</v>
      </c>
      <c r="F770" s="304">
        <f t="shared" ca="1" si="329"/>
        <v>2.2114665990655329</v>
      </c>
      <c r="G770" s="306">
        <f t="shared" ca="1" si="330"/>
        <v>11.28721209880846</v>
      </c>
      <c r="H770" s="307">
        <f t="shared" ca="1" si="331"/>
        <v>-121.55071321219896</v>
      </c>
      <c r="I770" s="304">
        <f t="shared" ca="1" si="332"/>
        <v>122.07365415747054</v>
      </c>
      <c r="J770" s="306">
        <f t="shared" ca="1" si="333"/>
        <v>786.02923903053897</v>
      </c>
      <c r="K770" s="307">
        <f t="shared" ca="1" si="334"/>
        <v>-11.288644532034857</v>
      </c>
      <c r="L770" s="304">
        <f t="shared" ca="1" si="319"/>
        <v>786.11029640012919</v>
      </c>
      <c r="M770" s="306">
        <f t="shared" ca="1" si="335"/>
        <v>-1.4782017592943015</v>
      </c>
      <c r="N770" s="304">
        <f t="shared" ca="1" si="336"/>
        <v>-84.694722076376692</v>
      </c>
      <c r="P770" s="310">
        <f t="shared" ca="1" si="337"/>
        <v>23</v>
      </c>
      <c r="Q770" s="304">
        <f t="shared" ca="1" si="338"/>
        <v>0</v>
      </c>
      <c r="R770" s="306">
        <f t="shared" ca="1" si="339"/>
        <v>0</v>
      </c>
      <c r="S770" s="307">
        <f t="shared" ca="1" si="340"/>
        <v>7.4799999999999969</v>
      </c>
      <c r="T770" s="304">
        <f t="shared" ca="1" si="320"/>
        <v>73.37879999999997</v>
      </c>
      <c r="U770" s="311">
        <f t="shared" ca="1" si="321"/>
        <v>0</v>
      </c>
      <c r="V770" s="306">
        <f t="shared" ca="1" si="322"/>
        <v>1.226383639926139</v>
      </c>
      <c r="W770" s="304">
        <f t="shared" ca="1" si="323"/>
        <v>57.978421584559314</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2.0168842551172723</v>
      </c>
      <c r="AH770" s="304">
        <f t="shared" ca="1" si="347"/>
        <v>-7.7510908461899319</v>
      </c>
    </row>
    <row r="771" spans="1:34" x14ac:dyDescent="0.2">
      <c r="A771" s="347">
        <f t="shared" ca="1" si="325"/>
        <v>1E-4</v>
      </c>
      <c r="B771" s="304">
        <f t="shared" ca="1" si="326"/>
        <v>34.72400000000102</v>
      </c>
      <c r="D771" s="306">
        <f t="shared" ca="1" si="327"/>
        <v>-0.71668700686656461</v>
      </c>
      <c r="E771" s="307">
        <f t="shared" ca="1" si="328"/>
        <v>-2.0920785086741365</v>
      </c>
      <c r="F771" s="304">
        <f t="shared" ca="1" si="329"/>
        <v>2.2114322852548649</v>
      </c>
      <c r="G771" s="306">
        <f t="shared" ca="1" si="330"/>
        <v>11.287140430107774</v>
      </c>
      <c r="H771" s="307">
        <f t="shared" ca="1" si="331"/>
        <v>-121.55092242004983</v>
      </c>
      <c r="I771" s="304">
        <f t="shared" ca="1" si="332"/>
        <v>122.07385584249376</v>
      </c>
      <c r="J771" s="306">
        <f t="shared" ca="1" si="333"/>
        <v>786.02923903053897</v>
      </c>
      <c r="K771" s="307">
        <f t="shared" ca="1" si="334"/>
        <v>-11.300799613816469</v>
      </c>
      <c r="L771" s="304">
        <f t="shared" ca="1" si="319"/>
        <v>786.11047104261354</v>
      </c>
      <c r="M771" s="306">
        <f t="shared" ca="1" si="335"/>
        <v>-1.4782025023324061</v>
      </c>
      <c r="N771" s="304">
        <f t="shared" ca="1" si="336"/>
        <v>-84.6947646493241</v>
      </c>
      <c r="P771" s="310">
        <f t="shared" ca="1" si="337"/>
        <v>23</v>
      </c>
      <c r="Q771" s="304">
        <f t="shared" ca="1" si="338"/>
        <v>0</v>
      </c>
      <c r="R771" s="306">
        <f t="shared" ca="1" si="339"/>
        <v>0</v>
      </c>
      <c r="S771" s="307">
        <f t="shared" ca="1" si="340"/>
        <v>7.4799999999999969</v>
      </c>
      <c r="T771" s="304">
        <f t="shared" ca="1" si="320"/>
        <v>73.37879999999997</v>
      </c>
      <c r="U771" s="311">
        <f t="shared" ca="1" si="321"/>
        <v>0</v>
      </c>
      <c r="V771" s="306">
        <f t="shared" ca="1" si="322"/>
        <v>1.2263851306068638</v>
      </c>
      <c r="W771" s="304">
        <f t="shared" ca="1" si="323"/>
        <v>57.978683637343373</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2.0168498950043512</v>
      </c>
      <c r="AH771" s="304">
        <f t="shared" ca="1" si="347"/>
        <v>-7.751125880288682</v>
      </c>
    </row>
    <row r="772" spans="1:34" x14ac:dyDescent="0.2">
      <c r="A772" s="347">
        <f t="shared" ca="1" si="325"/>
        <v>1E-4</v>
      </c>
      <c r="B772" s="304">
        <f t="shared" ca="1" si="326"/>
        <v>34.724100000001023</v>
      </c>
      <c r="D772" s="306">
        <f t="shared" ca="1" si="327"/>
        <v>-0.71668451143628575</v>
      </c>
      <c r="E772" s="307">
        <f t="shared" ca="1" si="328"/>
        <v>-2.092043092431739</v>
      </c>
      <c r="F772" s="304">
        <f t="shared" ca="1" si="329"/>
        <v>2.2113979717644718</v>
      </c>
      <c r="G772" s="306">
        <f t="shared" ca="1" si="330"/>
        <v>11.287068761656631</v>
      </c>
      <c r="H772" s="307">
        <f t="shared" ca="1" si="331"/>
        <v>-121.55113162435907</v>
      </c>
      <c r="I772" s="304">
        <f t="shared" ca="1" si="332"/>
        <v>122.07405752408097</v>
      </c>
      <c r="J772" s="306">
        <f t="shared" ca="1" si="333"/>
        <v>786.02923903053897</v>
      </c>
      <c r="K772" s="307">
        <f t="shared" ca="1" si="334"/>
        <v>-11.312954716518689</v>
      </c>
      <c r="L772" s="304">
        <f t="shared" ref="L772:L835" ca="1" si="348">SQRT(pos_x^2+pos_z^2)</f>
        <v>786.11064587330588</v>
      </c>
      <c r="M772" s="306">
        <f t="shared" ca="1" si="335"/>
        <v>-1.4782032453633376</v>
      </c>
      <c r="N772" s="304">
        <f t="shared" ca="1" si="336"/>
        <v>-84.694807221860515</v>
      </c>
      <c r="P772" s="310">
        <f t="shared" ca="1" si="337"/>
        <v>23</v>
      </c>
      <c r="Q772" s="304">
        <f t="shared" ca="1" si="338"/>
        <v>0</v>
      </c>
      <c r="R772" s="306">
        <f t="shared" ca="1" si="339"/>
        <v>0</v>
      </c>
      <c r="S772" s="307">
        <f t="shared" ca="1" si="340"/>
        <v>7.4799999999999969</v>
      </c>
      <c r="T772" s="304">
        <f t="shared" ref="T772:T835" ca="1" si="349">m*g</f>
        <v>73.37879999999997</v>
      </c>
      <c r="U772" s="311">
        <f t="shared" ref="U772:U835" ca="1" si="350">IF(pos_xz&lt;L_rampe,Poids*COS(Beta),0)</f>
        <v>0</v>
      </c>
      <c r="V772" s="306">
        <f t="shared" ref="V772:V835" ca="1" si="351">Rho_moyen*(20000-Alt_rampe-pos_z)/(20000+Alt_rampe+pos_z)</f>
        <v>1.2263866212919678</v>
      </c>
      <c r="W772" s="304">
        <f t="shared" ref="W772:W835" ca="1" si="352">1/2*Rho*Sref*Cx*vit_xz^2</f>
        <v>57.978945687852864</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2.0168155351836168</v>
      </c>
      <c r="AH772" s="304">
        <f t="shared" ca="1" si="347"/>
        <v>-7.751160914083342</v>
      </c>
    </row>
    <row r="773" spans="1:34" x14ac:dyDescent="0.2">
      <c r="A773" s="347">
        <f t="shared" ref="A773:A836" ca="1" si="354">IF(B772+0.01&lt;=T_ini+ROUNDUP(Temps_fin_propu,0), 0.01, IF(K772&gt;0, 0.1, 0.0001))</f>
        <v>1E-4</v>
      </c>
      <c r="B773" s="304">
        <f t="shared" ref="B773:B836" ca="1" si="355">B772+pas</f>
        <v>34.724200000001026</v>
      </c>
      <c r="D773" s="306">
        <f t="shared" ref="D773:D836" ca="1" si="356">IF(AND(L772&lt;L_rampe,Poussee&lt;Poids*SIN(M772)),0,(-W772+Poussee)/m*COS(M772)-U772/m*SIN(M772))</f>
        <v>-0.71668201598101766</v>
      </c>
      <c r="E773" s="307">
        <f t="shared" ref="E773:E836" ca="1" si="357">IF(AND(L772&lt;L_rampe,Poussee&lt;Poids*SIN(M772)),0,(-W772+Poussee)/m*SIN(M772)+U772/m*COS(M772)-Poids/m)</f>
        <v>-2.0920076764967135</v>
      </c>
      <c r="F773" s="304">
        <f t="shared" ref="F773:F836" ca="1" si="358">SQRT(acc_x^2+acc_z^2)</f>
        <v>2.211363658594351</v>
      </c>
      <c r="G773" s="306">
        <f t="shared" ref="G773:G836" ca="1" si="359">G772+acc_x*pas</f>
        <v>11.286997093455033</v>
      </c>
      <c r="H773" s="307">
        <f t="shared" ref="H773:H836" ca="1" si="360">H772+acc_z*pas</f>
        <v>-121.55134082512673</v>
      </c>
      <c r="I773" s="304">
        <f t="shared" ref="I773:I836" ca="1" si="361">SQRT(vit_x^2+vit_z^2)</f>
        <v>122.07425920223224</v>
      </c>
      <c r="J773" s="306">
        <f t="shared" ref="J773:J836" ca="1" si="362">J772+0.5*(vit_x+G772)*pas*(K772&gt;=0)</f>
        <v>786.02923903053897</v>
      </c>
      <c r="K773" s="307">
        <f t="shared" ref="K773:K836" ca="1" si="363">K772+0.5*(vit_z+H772)*pas</f>
        <v>-11.325109840141163</v>
      </c>
      <c r="L773" s="304">
        <f t="shared" ca="1" si="348"/>
        <v>786.1108208922069</v>
      </c>
      <c r="M773" s="306">
        <f t="shared" ref="M773:M836" ca="1" si="364">IF(AND(L772&gt;L_rampe,G773&gt;0),ATAN2(G773,H773),$M$4)</f>
        <v>-1.4782039883870961</v>
      </c>
      <c r="N773" s="304">
        <f t="shared" ref="N773:N836" ca="1" si="365">DEGREES(Beta)</f>
        <v>-84.694849793985966</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7.4799999999999969</v>
      </c>
      <c r="T773" s="304">
        <f t="shared" ca="1" si="349"/>
        <v>73.37879999999997</v>
      </c>
      <c r="U773" s="311">
        <f t="shared" ca="1" si="350"/>
        <v>0</v>
      </c>
      <c r="V773" s="306">
        <f t="shared" ca="1" si="351"/>
        <v>1.2263881119814506</v>
      </c>
      <c r="W773" s="304">
        <f t="shared" ca="1" si="352"/>
        <v>57.979207736087808</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2.0167811756550726</v>
      </c>
      <c r="AH773" s="304">
        <f t="shared" ref="AH773:AH836" ca="1" si="376">IF(AND(L772&lt;L_rampe,Poussee&lt;Poids*SIN(M772)), g*SIN(M772), (-W772+Poussee)/m)</f>
        <v>-7.7511959475739154</v>
      </c>
    </row>
    <row r="774" spans="1:34" x14ac:dyDescent="0.2">
      <c r="A774" s="347">
        <f t="shared" ca="1" si="354"/>
        <v>1E-4</v>
      </c>
      <c r="B774" s="304">
        <f t="shared" ca="1" si="355"/>
        <v>34.72430000000103</v>
      </c>
      <c r="D774" s="306">
        <f t="shared" ca="1" si="356"/>
        <v>-0.71667952050076023</v>
      </c>
      <c r="E774" s="307">
        <f t="shared" ca="1" si="357"/>
        <v>-2.0919722608690554</v>
      </c>
      <c r="F774" s="304">
        <f t="shared" ca="1" si="358"/>
        <v>2.2113293457444971</v>
      </c>
      <c r="G774" s="306">
        <f t="shared" ca="1" si="359"/>
        <v>11.286925425502984</v>
      </c>
      <c r="H774" s="307">
        <f t="shared" ca="1" si="360"/>
        <v>-121.55155002235281</v>
      </c>
      <c r="I774" s="304">
        <f t="shared" ca="1" si="361"/>
        <v>122.07446087694757</v>
      </c>
      <c r="J774" s="306">
        <f t="shared" ca="1" si="362"/>
        <v>786.02923903053897</v>
      </c>
      <c r="K774" s="307">
        <f t="shared" ca="1" si="363"/>
        <v>-11.337264984683538</v>
      </c>
      <c r="L774" s="304">
        <f t="shared" ca="1" si="348"/>
        <v>786.1109960993175</v>
      </c>
      <c r="M774" s="306">
        <f t="shared" ca="1" si="364"/>
        <v>-1.4782047314036817</v>
      </c>
      <c r="N774" s="304">
        <f t="shared" ca="1" si="365"/>
        <v>-84.694892365700426</v>
      </c>
      <c r="P774" s="310">
        <f t="shared" ca="1" si="366"/>
        <v>23</v>
      </c>
      <c r="Q774" s="304">
        <f t="shared" ca="1" si="367"/>
        <v>0</v>
      </c>
      <c r="R774" s="306">
        <f t="shared" ca="1" si="368"/>
        <v>0</v>
      </c>
      <c r="S774" s="307">
        <f t="shared" ca="1" si="369"/>
        <v>7.4799999999999969</v>
      </c>
      <c r="T774" s="304">
        <f t="shared" ca="1" si="349"/>
        <v>73.37879999999997</v>
      </c>
      <c r="U774" s="311">
        <f t="shared" ca="1" si="350"/>
        <v>0</v>
      </c>
      <c r="V774" s="306">
        <f t="shared" ca="1" si="351"/>
        <v>1.2263896026753114</v>
      </c>
      <c r="W774" s="304">
        <f t="shared" ca="1" si="352"/>
        <v>57.97946978204812</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2.0167468164187135</v>
      </c>
      <c r="AH774" s="304">
        <f t="shared" ca="1" si="376"/>
        <v>-7.7512309807604058</v>
      </c>
    </row>
    <row r="775" spans="1:34" x14ac:dyDescent="0.2">
      <c r="A775" s="347">
        <f t="shared" ca="1" si="354"/>
        <v>1E-4</v>
      </c>
      <c r="B775" s="304">
        <f t="shared" ca="1" si="355"/>
        <v>34.724400000001033</v>
      </c>
      <c r="D775" s="306">
        <f t="shared" ca="1" si="356"/>
        <v>-0.71667702499551378</v>
      </c>
      <c r="E775" s="307">
        <f t="shared" ca="1" si="357"/>
        <v>-2.0919368455487799</v>
      </c>
      <c r="F775" s="304">
        <f t="shared" ca="1" si="358"/>
        <v>2.2112950332149257</v>
      </c>
      <c r="G775" s="306">
        <f t="shared" ca="1" si="359"/>
        <v>11.286853757800484</v>
      </c>
      <c r="H775" s="307">
        <f t="shared" ca="1" si="360"/>
        <v>-121.55175921603737</v>
      </c>
      <c r="I775" s="304">
        <f t="shared" ca="1" si="361"/>
        <v>122.07466254822702</v>
      </c>
      <c r="J775" s="306">
        <f t="shared" ca="1" si="362"/>
        <v>786.02923903053897</v>
      </c>
      <c r="K775" s="307">
        <f t="shared" ca="1" si="363"/>
        <v>-11.349420150145457</v>
      </c>
      <c r="L775" s="304">
        <f t="shared" ca="1" si="348"/>
        <v>786.11117149463837</v>
      </c>
      <c r="M775" s="306">
        <f t="shared" ca="1" si="364"/>
        <v>-1.4782054744130944</v>
      </c>
      <c r="N775" s="304">
        <f t="shared" ca="1" si="365"/>
        <v>-84.694934937003907</v>
      </c>
      <c r="P775" s="310">
        <f t="shared" ca="1" si="366"/>
        <v>23</v>
      </c>
      <c r="Q775" s="304">
        <f t="shared" ca="1" si="367"/>
        <v>0</v>
      </c>
      <c r="R775" s="306">
        <f t="shared" ca="1" si="368"/>
        <v>0</v>
      </c>
      <c r="S775" s="307">
        <f t="shared" ca="1" si="369"/>
        <v>7.4799999999999969</v>
      </c>
      <c r="T775" s="304">
        <f t="shared" ca="1" si="349"/>
        <v>73.37879999999997</v>
      </c>
      <c r="U775" s="311">
        <f t="shared" ca="1" si="350"/>
        <v>0</v>
      </c>
      <c r="V775" s="306">
        <f t="shared" ca="1" si="351"/>
        <v>1.2263910933735511</v>
      </c>
      <c r="W775" s="304">
        <f t="shared" ca="1" si="352"/>
        <v>57.979731825733907</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2.016712457474549</v>
      </c>
      <c r="AH775" s="304">
        <f t="shared" ca="1" si="376"/>
        <v>-7.7512660136428</v>
      </c>
    </row>
    <row r="776" spans="1:34" x14ac:dyDescent="0.2">
      <c r="A776" s="347">
        <f t="shared" ca="1" si="354"/>
        <v>1E-4</v>
      </c>
      <c r="B776" s="304">
        <f t="shared" ca="1" si="355"/>
        <v>34.724500000001036</v>
      </c>
      <c r="D776" s="306">
        <f t="shared" ca="1" si="356"/>
        <v>-0.71667452946528121</v>
      </c>
      <c r="E776" s="307">
        <f t="shared" ca="1" si="357"/>
        <v>-2.0919014305358701</v>
      </c>
      <c r="F776" s="304">
        <f t="shared" ca="1" si="358"/>
        <v>2.2112607210056217</v>
      </c>
      <c r="G776" s="306">
        <f t="shared" ca="1" si="359"/>
        <v>11.286782090347538</v>
      </c>
      <c r="H776" s="307">
        <f t="shared" ca="1" si="360"/>
        <v>-121.55196840618042</v>
      </c>
      <c r="I776" s="304">
        <f t="shared" ca="1" si="361"/>
        <v>122.07486421607059</v>
      </c>
      <c r="J776" s="306">
        <f t="shared" ca="1" si="362"/>
        <v>786.02923903053897</v>
      </c>
      <c r="K776" s="307">
        <f t="shared" ca="1" si="363"/>
        <v>-11.361575336526569</v>
      </c>
      <c r="L776" s="304">
        <f t="shared" ca="1" si="348"/>
        <v>786.11134707817041</v>
      </c>
      <c r="M776" s="306">
        <f t="shared" ca="1" si="364"/>
        <v>-1.4782062174153343</v>
      </c>
      <c r="N776" s="304">
        <f t="shared" ca="1" si="365"/>
        <v>-84.694977507896425</v>
      </c>
      <c r="P776" s="310">
        <f t="shared" ca="1" si="366"/>
        <v>23</v>
      </c>
      <c r="Q776" s="304">
        <f t="shared" ca="1" si="367"/>
        <v>0</v>
      </c>
      <c r="R776" s="306">
        <f t="shared" ca="1" si="368"/>
        <v>0</v>
      </c>
      <c r="S776" s="307">
        <f t="shared" ca="1" si="369"/>
        <v>7.4799999999999969</v>
      </c>
      <c r="T776" s="304">
        <f t="shared" ca="1" si="349"/>
        <v>73.37879999999997</v>
      </c>
      <c r="U776" s="311">
        <f t="shared" ca="1" si="350"/>
        <v>0</v>
      </c>
      <c r="V776" s="306">
        <f t="shared" ca="1" si="351"/>
        <v>1.2263925840761694</v>
      </c>
      <c r="W776" s="304">
        <f t="shared" ca="1" si="352"/>
        <v>57.979993867145112</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2.0166780988225685</v>
      </c>
      <c r="AH776" s="304">
        <f t="shared" ca="1" si="376"/>
        <v>-7.7513010462211138</v>
      </c>
    </row>
    <row r="777" spans="1:34" x14ac:dyDescent="0.2">
      <c r="A777" s="347">
        <f t="shared" ca="1" si="354"/>
        <v>1E-4</v>
      </c>
      <c r="B777" s="304">
        <f t="shared" ca="1" si="355"/>
        <v>34.72460000000104</v>
      </c>
      <c r="D777" s="306">
        <f t="shared" ca="1" si="356"/>
        <v>-0.71667203391006129</v>
      </c>
      <c r="E777" s="307">
        <f t="shared" ca="1" si="357"/>
        <v>-2.0918660158303348</v>
      </c>
      <c r="F777" s="304">
        <f t="shared" ca="1" si="358"/>
        <v>2.211226409116593</v>
      </c>
      <c r="G777" s="306">
        <f t="shared" ca="1" si="359"/>
        <v>11.286710423144147</v>
      </c>
      <c r="H777" s="307">
        <f t="shared" ca="1" si="360"/>
        <v>-121.552177592782</v>
      </c>
      <c r="I777" s="304">
        <f t="shared" ca="1" si="361"/>
        <v>122.07506588047833</v>
      </c>
      <c r="J777" s="306">
        <f t="shared" ca="1" si="362"/>
        <v>786.02923903053897</v>
      </c>
      <c r="K777" s="307">
        <f t="shared" ca="1" si="363"/>
        <v>-11.373730543826516</v>
      </c>
      <c r="L777" s="304">
        <f t="shared" ca="1" si="348"/>
        <v>786.11152284991465</v>
      </c>
      <c r="M777" s="306">
        <f t="shared" ca="1" si="364"/>
        <v>-1.4782069604104016</v>
      </c>
      <c r="N777" s="304">
        <f t="shared" ca="1" si="365"/>
        <v>-84.695020078377979</v>
      </c>
      <c r="P777" s="310">
        <f t="shared" ca="1" si="366"/>
        <v>23</v>
      </c>
      <c r="Q777" s="304">
        <f t="shared" ca="1" si="367"/>
        <v>0</v>
      </c>
      <c r="R777" s="306">
        <f t="shared" ca="1" si="368"/>
        <v>0</v>
      </c>
      <c r="S777" s="307">
        <f t="shared" ca="1" si="369"/>
        <v>7.4799999999999969</v>
      </c>
      <c r="T777" s="304">
        <f t="shared" ca="1" si="349"/>
        <v>73.37879999999997</v>
      </c>
      <c r="U777" s="311">
        <f t="shared" ca="1" si="350"/>
        <v>0</v>
      </c>
      <c r="V777" s="306">
        <f t="shared" ca="1" si="351"/>
        <v>1.2263940747831659</v>
      </c>
      <c r="W777" s="304">
        <f t="shared" ca="1" si="352"/>
        <v>57.980255906281741</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2.0166437404627766</v>
      </c>
      <c r="AH777" s="304">
        <f t="shared" ca="1" si="376"/>
        <v>-7.7513360784953393</v>
      </c>
    </row>
    <row r="778" spans="1:34" x14ac:dyDescent="0.2">
      <c r="A778" s="347">
        <f t="shared" ca="1" si="354"/>
        <v>1E-4</v>
      </c>
      <c r="B778" s="304">
        <f t="shared" ca="1" si="355"/>
        <v>34.724700000001043</v>
      </c>
      <c r="D778" s="306">
        <f t="shared" ca="1" si="356"/>
        <v>-0.7166695383298558</v>
      </c>
      <c r="E778" s="307">
        <f t="shared" ca="1" si="357"/>
        <v>-2.0918306014321724</v>
      </c>
      <c r="F778" s="304">
        <f t="shared" ca="1" si="358"/>
        <v>2.2111920975478392</v>
      </c>
      <c r="G778" s="306">
        <f t="shared" ca="1" si="359"/>
        <v>11.286638756190314</v>
      </c>
      <c r="H778" s="307">
        <f t="shared" ca="1" si="360"/>
        <v>-121.55238677584215</v>
      </c>
      <c r="I778" s="304">
        <f t="shared" ca="1" si="361"/>
        <v>122.07526754145027</v>
      </c>
      <c r="J778" s="306">
        <f t="shared" ca="1" si="362"/>
        <v>786.02923903053897</v>
      </c>
      <c r="K778" s="307">
        <f t="shared" ca="1" si="363"/>
        <v>-11.385885772044947</v>
      </c>
      <c r="L778" s="304">
        <f t="shared" ca="1" si="348"/>
        <v>786.11169880987165</v>
      </c>
      <c r="M778" s="306">
        <f t="shared" ca="1" si="364"/>
        <v>-1.4782077033982963</v>
      </c>
      <c r="N778" s="304">
        <f t="shared" ca="1" si="365"/>
        <v>-84.695062648448584</v>
      </c>
      <c r="P778" s="310">
        <f t="shared" ca="1" si="366"/>
        <v>23</v>
      </c>
      <c r="Q778" s="304">
        <f t="shared" ca="1" si="367"/>
        <v>0</v>
      </c>
      <c r="R778" s="306">
        <f t="shared" ca="1" si="368"/>
        <v>0</v>
      </c>
      <c r="S778" s="307">
        <f t="shared" ca="1" si="369"/>
        <v>7.4799999999999969</v>
      </c>
      <c r="T778" s="304">
        <f t="shared" ca="1" si="349"/>
        <v>73.37879999999997</v>
      </c>
      <c r="U778" s="311">
        <f t="shared" ca="1" si="350"/>
        <v>0</v>
      </c>
      <c r="V778" s="306">
        <f t="shared" ca="1" si="351"/>
        <v>1.2263955654945409</v>
      </c>
      <c r="W778" s="304">
        <f t="shared" ca="1" si="352"/>
        <v>57.980517943143816</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2.0166093823951767</v>
      </c>
      <c r="AH778" s="304">
        <f t="shared" ca="1" si="376"/>
        <v>-7.7513711104654766</v>
      </c>
    </row>
    <row r="779" spans="1:34" x14ac:dyDescent="0.2">
      <c r="A779" s="347">
        <f t="shared" ca="1" si="354"/>
        <v>1E-4</v>
      </c>
      <c r="B779" s="304">
        <f t="shared" ca="1" si="355"/>
        <v>34.724800000001046</v>
      </c>
      <c r="D779" s="306">
        <f t="shared" ca="1" si="356"/>
        <v>-0.71666704272466464</v>
      </c>
      <c r="E779" s="307">
        <f t="shared" ca="1" si="357"/>
        <v>-2.09179518734138</v>
      </c>
      <c r="F779" s="304">
        <f t="shared" ca="1" si="358"/>
        <v>2.2111577862993577</v>
      </c>
      <c r="G779" s="306">
        <f t="shared" ca="1" si="359"/>
        <v>11.286567089486041</v>
      </c>
      <c r="H779" s="307">
        <f t="shared" ca="1" si="360"/>
        <v>-121.55259595536089</v>
      </c>
      <c r="I779" s="304">
        <f t="shared" ca="1" si="361"/>
        <v>122.07546919898643</v>
      </c>
      <c r="J779" s="306">
        <f t="shared" ca="1" si="362"/>
        <v>786.02923903053897</v>
      </c>
      <c r="K779" s="307">
        <f t="shared" ca="1" si="363"/>
        <v>-11.398041021181507</v>
      </c>
      <c r="L779" s="304">
        <f t="shared" ca="1" si="348"/>
        <v>786.11187495804234</v>
      </c>
      <c r="M779" s="306">
        <f t="shared" ca="1" si="364"/>
        <v>-1.4782084463790186</v>
      </c>
      <c r="N779" s="304">
        <f t="shared" ca="1" si="365"/>
        <v>-84.695105218108225</v>
      </c>
      <c r="P779" s="310">
        <f t="shared" ca="1" si="366"/>
        <v>23</v>
      </c>
      <c r="Q779" s="304">
        <f t="shared" ca="1" si="367"/>
        <v>0</v>
      </c>
      <c r="R779" s="306">
        <f t="shared" ca="1" si="368"/>
        <v>0</v>
      </c>
      <c r="S779" s="307">
        <f t="shared" ca="1" si="369"/>
        <v>7.4799999999999969</v>
      </c>
      <c r="T779" s="304">
        <f t="shared" ca="1" si="349"/>
        <v>73.37879999999997</v>
      </c>
      <c r="U779" s="311">
        <f t="shared" ca="1" si="350"/>
        <v>0</v>
      </c>
      <c r="V779" s="306">
        <f t="shared" ca="1" si="351"/>
        <v>1.2263970562102944</v>
      </c>
      <c r="W779" s="304">
        <f t="shared" ca="1" si="352"/>
        <v>57.980779977731316</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2.0165750246197609</v>
      </c>
      <c r="AH779" s="304">
        <f t="shared" ca="1" si="376"/>
        <v>-7.7514061421315299</v>
      </c>
    </row>
    <row r="780" spans="1:34" x14ac:dyDescent="0.2">
      <c r="A780" s="347">
        <f t="shared" ca="1" si="354"/>
        <v>1E-4</v>
      </c>
      <c r="B780" s="304">
        <f t="shared" ca="1" si="355"/>
        <v>34.72490000000105</v>
      </c>
      <c r="D780" s="306">
        <f t="shared" ca="1" si="356"/>
        <v>-0.71666454709448879</v>
      </c>
      <c r="E780" s="307">
        <f t="shared" ca="1" si="357"/>
        <v>-2.0917597735579614</v>
      </c>
      <c r="F780" s="304">
        <f t="shared" ca="1" si="358"/>
        <v>2.2111234753711524</v>
      </c>
      <c r="G780" s="306">
        <f t="shared" ca="1" si="359"/>
        <v>11.286495423031331</v>
      </c>
      <c r="H780" s="307">
        <f t="shared" ca="1" si="360"/>
        <v>-121.55280513133825</v>
      </c>
      <c r="I780" s="304">
        <f t="shared" ca="1" si="361"/>
        <v>122.07567085308685</v>
      </c>
      <c r="J780" s="306">
        <f t="shared" ca="1" si="362"/>
        <v>786.02923903053897</v>
      </c>
      <c r="K780" s="307">
        <f t="shared" ca="1" si="363"/>
        <v>-11.410196291235842</v>
      </c>
      <c r="L780" s="304">
        <f t="shared" ca="1" si="348"/>
        <v>786.1120512944276</v>
      </c>
      <c r="M780" s="306">
        <f t="shared" ca="1" si="364"/>
        <v>-1.4782091893525686</v>
      </c>
      <c r="N780" s="304">
        <f t="shared" ca="1" si="365"/>
        <v>-84.69514778735693</v>
      </c>
      <c r="P780" s="310">
        <f t="shared" ca="1" si="366"/>
        <v>23</v>
      </c>
      <c r="Q780" s="304">
        <f t="shared" ca="1" si="367"/>
        <v>0</v>
      </c>
      <c r="R780" s="306">
        <f t="shared" ca="1" si="368"/>
        <v>0</v>
      </c>
      <c r="S780" s="307">
        <f t="shared" ca="1" si="369"/>
        <v>7.4799999999999969</v>
      </c>
      <c r="T780" s="304">
        <f t="shared" ca="1" si="349"/>
        <v>73.37879999999997</v>
      </c>
      <c r="U780" s="311">
        <f t="shared" ca="1" si="350"/>
        <v>0</v>
      </c>
      <c r="V780" s="306">
        <f t="shared" ca="1" si="351"/>
        <v>1.2263985469304264</v>
      </c>
      <c r="W780" s="304">
        <f t="shared" ca="1" si="352"/>
        <v>57.981042010044277</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2.0165406671365389</v>
      </c>
      <c r="AH780" s="304">
        <f t="shared" ca="1" si="376"/>
        <v>-7.7514411734934949</v>
      </c>
    </row>
    <row r="781" spans="1:34" x14ac:dyDescent="0.2">
      <c r="A781" s="347">
        <f t="shared" ca="1" si="354"/>
        <v>1E-4</v>
      </c>
      <c r="B781" s="304">
        <f t="shared" ca="1" si="355"/>
        <v>34.725000000001053</v>
      </c>
      <c r="D781" s="306">
        <f t="shared" ca="1" si="356"/>
        <v>-0.71666205143932882</v>
      </c>
      <c r="E781" s="307">
        <f t="shared" ca="1" si="357"/>
        <v>-2.0917243600819111</v>
      </c>
      <c r="F781" s="304">
        <f t="shared" ca="1" si="358"/>
        <v>2.2110891647632185</v>
      </c>
      <c r="G781" s="306">
        <f t="shared" ca="1" si="359"/>
        <v>11.286423756826187</v>
      </c>
      <c r="H781" s="307">
        <f t="shared" ca="1" si="360"/>
        <v>-121.55301430377425</v>
      </c>
      <c r="I781" s="304">
        <f t="shared" ca="1" si="361"/>
        <v>122.07587250375153</v>
      </c>
      <c r="J781" s="306">
        <f t="shared" ca="1" si="362"/>
        <v>786.02923903053897</v>
      </c>
      <c r="K781" s="307">
        <f t="shared" ca="1" si="363"/>
        <v>-11.422351582207597</v>
      </c>
      <c r="L781" s="304">
        <f t="shared" ca="1" si="348"/>
        <v>786.11222781902825</v>
      </c>
      <c r="M781" s="306">
        <f t="shared" ca="1" si="364"/>
        <v>-1.4782099323189466</v>
      </c>
      <c r="N781" s="304">
        <f t="shared" ca="1" si="365"/>
        <v>-84.695190356194701</v>
      </c>
      <c r="P781" s="310">
        <f t="shared" ca="1" si="366"/>
        <v>23</v>
      </c>
      <c r="Q781" s="304">
        <f t="shared" ca="1" si="367"/>
        <v>0</v>
      </c>
      <c r="R781" s="306">
        <f t="shared" ca="1" si="368"/>
        <v>0</v>
      </c>
      <c r="S781" s="307">
        <f t="shared" ca="1" si="369"/>
        <v>7.4799999999999969</v>
      </c>
      <c r="T781" s="304">
        <f t="shared" ca="1" si="349"/>
        <v>73.37879999999997</v>
      </c>
      <c r="U781" s="311">
        <f t="shared" ca="1" si="350"/>
        <v>0</v>
      </c>
      <c r="V781" s="306">
        <f t="shared" ca="1" si="351"/>
        <v>1.2264000376549369</v>
      </c>
      <c r="W781" s="304">
        <f t="shared" ca="1" si="352"/>
        <v>57.981304040082662</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2.0165063099455001</v>
      </c>
      <c r="AH781" s="304">
        <f t="shared" ca="1" si="376"/>
        <v>-7.751476204551377</v>
      </c>
    </row>
    <row r="782" spans="1:34" x14ac:dyDescent="0.2">
      <c r="A782" s="347">
        <f t="shared" ca="1" si="354"/>
        <v>1E-4</v>
      </c>
      <c r="B782" s="304">
        <f t="shared" ca="1" si="355"/>
        <v>34.725100000001056</v>
      </c>
      <c r="D782" s="306">
        <f t="shared" ca="1" si="356"/>
        <v>-0.71665955575918361</v>
      </c>
      <c r="E782" s="307">
        <f t="shared" ca="1" si="357"/>
        <v>-2.0916889469132336</v>
      </c>
      <c r="F782" s="304">
        <f t="shared" ca="1" si="358"/>
        <v>2.2110548544755604</v>
      </c>
      <c r="G782" s="306">
        <f t="shared" ca="1" si="359"/>
        <v>11.286352090870611</v>
      </c>
      <c r="H782" s="307">
        <f t="shared" ca="1" si="360"/>
        <v>-121.55322347266893</v>
      </c>
      <c r="I782" s="304">
        <f t="shared" ca="1" si="361"/>
        <v>122.07607415098052</v>
      </c>
      <c r="J782" s="306">
        <f t="shared" ca="1" si="362"/>
        <v>786.02923903053897</v>
      </c>
      <c r="K782" s="307">
        <f t="shared" ca="1" si="363"/>
        <v>-11.434506894096419</v>
      </c>
      <c r="L782" s="304">
        <f t="shared" ca="1" si="348"/>
        <v>786.11240453184519</v>
      </c>
      <c r="M782" s="306">
        <f t="shared" ca="1" si="364"/>
        <v>-1.4782106752781521</v>
      </c>
      <c r="N782" s="304">
        <f t="shared" ca="1" si="365"/>
        <v>-84.695232924621536</v>
      </c>
      <c r="P782" s="310">
        <f t="shared" ca="1" si="366"/>
        <v>23</v>
      </c>
      <c r="Q782" s="304">
        <f t="shared" ca="1" si="367"/>
        <v>0</v>
      </c>
      <c r="R782" s="306">
        <f t="shared" ca="1" si="368"/>
        <v>0</v>
      </c>
      <c r="S782" s="307">
        <f t="shared" ca="1" si="369"/>
        <v>7.4799999999999969</v>
      </c>
      <c r="T782" s="304">
        <f t="shared" ca="1" si="349"/>
        <v>73.37879999999997</v>
      </c>
      <c r="U782" s="311">
        <f t="shared" ca="1" si="350"/>
        <v>0</v>
      </c>
      <c r="V782" s="306">
        <f t="shared" ca="1" si="351"/>
        <v>1.2264015283838252</v>
      </c>
      <c r="W782" s="304">
        <f t="shared" ca="1" si="352"/>
        <v>57.981566067846458</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2.0164719530466506</v>
      </c>
      <c r="AH782" s="304">
        <f t="shared" ca="1" si="376"/>
        <v>-7.7515112353051716</v>
      </c>
    </row>
    <row r="783" spans="1:34" x14ac:dyDescent="0.2">
      <c r="A783" s="347">
        <f t="shared" ca="1" si="354"/>
        <v>1E-4</v>
      </c>
      <c r="B783" s="304">
        <f t="shared" ca="1" si="355"/>
        <v>34.72520000000106</v>
      </c>
      <c r="D783" s="306">
        <f t="shared" ca="1" si="356"/>
        <v>-0.71665706005405816</v>
      </c>
      <c r="E783" s="307">
        <f t="shared" ca="1" si="357"/>
        <v>-2.0916535340519307</v>
      </c>
      <c r="F783" s="304">
        <f t="shared" ca="1" si="358"/>
        <v>2.2110205445081821</v>
      </c>
      <c r="G783" s="306">
        <f t="shared" ca="1" si="359"/>
        <v>11.286280425164605</v>
      </c>
      <c r="H783" s="307">
        <f t="shared" ca="1" si="360"/>
        <v>-121.55343263802234</v>
      </c>
      <c r="I783" s="304">
        <f t="shared" ca="1" si="361"/>
        <v>122.07627579477386</v>
      </c>
      <c r="J783" s="306">
        <f t="shared" ca="1" si="362"/>
        <v>786.02923903053897</v>
      </c>
      <c r="K783" s="307">
        <f t="shared" ca="1" si="363"/>
        <v>-11.446662226901953</v>
      </c>
      <c r="L783" s="304">
        <f t="shared" ca="1" si="348"/>
        <v>786.1125814328791</v>
      </c>
      <c r="M783" s="306">
        <f t="shared" ca="1" si="364"/>
        <v>-1.4782114182301858</v>
      </c>
      <c r="N783" s="304">
        <f t="shared" ca="1" si="365"/>
        <v>-84.69527549263745</v>
      </c>
      <c r="P783" s="310">
        <f t="shared" ca="1" si="366"/>
        <v>23</v>
      </c>
      <c r="Q783" s="304">
        <f t="shared" ca="1" si="367"/>
        <v>0</v>
      </c>
      <c r="R783" s="306">
        <f t="shared" ca="1" si="368"/>
        <v>0</v>
      </c>
      <c r="S783" s="307">
        <f t="shared" ca="1" si="369"/>
        <v>7.4799999999999969</v>
      </c>
      <c r="T783" s="304">
        <f t="shared" ca="1" si="349"/>
        <v>73.37879999999997</v>
      </c>
      <c r="U783" s="311">
        <f t="shared" ca="1" si="350"/>
        <v>0</v>
      </c>
      <c r="V783" s="306">
        <f t="shared" ca="1" si="351"/>
        <v>1.2264030191170923</v>
      </c>
      <c r="W783" s="304">
        <f t="shared" ca="1" si="352"/>
        <v>57.981828093335729</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2.0164375964399959</v>
      </c>
      <c r="AH783" s="304">
        <f t="shared" ca="1" si="376"/>
        <v>-7.751546265754877</v>
      </c>
    </row>
    <row r="784" spans="1:34" x14ac:dyDescent="0.2">
      <c r="A784" s="347">
        <f t="shared" ca="1" si="354"/>
        <v>1E-4</v>
      </c>
      <c r="B784" s="304">
        <f t="shared" ca="1" si="355"/>
        <v>34.725300000001063</v>
      </c>
      <c r="D784" s="306">
        <f t="shared" ca="1" si="356"/>
        <v>-0.71665456432394936</v>
      </c>
      <c r="E784" s="307">
        <f t="shared" ca="1" si="357"/>
        <v>-2.0916181214979943</v>
      </c>
      <c r="F784" s="304">
        <f t="shared" ca="1" si="358"/>
        <v>2.2109862348610738</v>
      </c>
      <c r="G784" s="306">
        <f t="shared" ca="1" si="359"/>
        <v>11.286208759708172</v>
      </c>
      <c r="H784" s="307">
        <f t="shared" ca="1" si="360"/>
        <v>-121.55364179983449</v>
      </c>
      <c r="I784" s="304">
        <f t="shared" ca="1" si="361"/>
        <v>122.07647743513157</v>
      </c>
      <c r="J784" s="306">
        <f t="shared" ca="1" si="362"/>
        <v>786.02923903053897</v>
      </c>
      <c r="K784" s="307">
        <f t="shared" ca="1" si="363"/>
        <v>-11.458817580623846</v>
      </c>
      <c r="L784" s="304">
        <f t="shared" ca="1" si="348"/>
        <v>786.112758522131</v>
      </c>
      <c r="M784" s="306">
        <f t="shared" ca="1" si="364"/>
        <v>-1.4782121611750474</v>
      </c>
      <c r="N784" s="304">
        <f t="shared" ca="1" si="365"/>
        <v>-84.695318060242428</v>
      </c>
      <c r="P784" s="310">
        <f t="shared" ca="1" si="366"/>
        <v>23</v>
      </c>
      <c r="Q784" s="304">
        <f t="shared" ca="1" si="367"/>
        <v>0</v>
      </c>
      <c r="R784" s="306">
        <f t="shared" ca="1" si="368"/>
        <v>0</v>
      </c>
      <c r="S784" s="307">
        <f t="shared" ca="1" si="369"/>
        <v>7.4799999999999969</v>
      </c>
      <c r="T784" s="304">
        <f t="shared" ca="1" si="349"/>
        <v>73.37879999999997</v>
      </c>
      <c r="U784" s="311">
        <f t="shared" ca="1" si="350"/>
        <v>0</v>
      </c>
      <c r="V784" s="306">
        <f t="shared" ca="1" si="351"/>
        <v>1.2264045098547374</v>
      </c>
      <c r="W784" s="304">
        <f t="shared" ca="1" si="352"/>
        <v>57.982090116550431</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2.0164032401255234</v>
      </c>
      <c r="AH784" s="304">
        <f t="shared" ca="1" si="376"/>
        <v>-7.7515812959005022</v>
      </c>
    </row>
    <row r="785" spans="1:34" x14ac:dyDescent="0.2">
      <c r="A785" s="347">
        <f t="shared" ca="1" si="354"/>
        <v>1E-4</v>
      </c>
      <c r="B785" s="304">
        <f t="shared" ca="1" si="355"/>
        <v>34.725400000001066</v>
      </c>
      <c r="D785" s="306">
        <f t="shared" ca="1" si="356"/>
        <v>-0.71665206856885977</v>
      </c>
      <c r="E785" s="307">
        <f t="shared" ca="1" si="357"/>
        <v>-2.0915827092514307</v>
      </c>
      <c r="F785" s="304">
        <f t="shared" ca="1" si="358"/>
        <v>2.210951925534244</v>
      </c>
      <c r="G785" s="306">
        <f t="shared" ca="1" si="359"/>
        <v>11.286137094501315</v>
      </c>
      <c r="H785" s="307">
        <f t="shared" ca="1" si="360"/>
        <v>-121.55385095810541</v>
      </c>
      <c r="I785" s="304">
        <f t="shared" ca="1" si="361"/>
        <v>122.07667907205365</v>
      </c>
      <c r="J785" s="306">
        <f t="shared" ca="1" si="362"/>
        <v>786.02923903053897</v>
      </c>
      <c r="K785" s="307">
        <f t="shared" ca="1" si="363"/>
        <v>-11.470972955261743</v>
      </c>
      <c r="L785" s="304">
        <f t="shared" ca="1" si="348"/>
        <v>786.11293579960159</v>
      </c>
      <c r="M785" s="306">
        <f t="shared" ca="1" si="364"/>
        <v>-1.4782129041127374</v>
      </c>
      <c r="N785" s="304">
        <f t="shared" ca="1" si="365"/>
        <v>-84.6953606274365</v>
      </c>
      <c r="P785" s="310">
        <f t="shared" ca="1" si="366"/>
        <v>23</v>
      </c>
      <c r="Q785" s="304">
        <f t="shared" ca="1" si="367"/>
        <v>0</v>
      </c>
      <c r="R785" s="306">
        <f t="shared" ca="1" si="368"/>
        <v>0</v>
      </c>
      <c r="S785" s="307">
        <f t="shared" ca="1" si="369"/>
        <v>7.4799999999999969</v>
      </c>
      <c r="T785" s="304">
        <f t="shared" ca="1" si="349"/>
        <v>73.37879999999997</v>
      </c>
      <c r="U785" s="311">
        <f t="shared" ca="1" si="350"/>
        <v>0</v>
      </c>
      <c r="V785" s="306">
        <f t="shared" ca="1" si="351"/>
        <v>1.2264060005967607</v>
      </c>
      <c r="W785" s="304">
        <f t="shared" ca="1" si="352"/>
        <v>57.982352137490565</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2.0163688841032403</v>
      </c>
      <c r="AH785" s="304">
        <f t="shared" ca="1" si="376"/>
        <v>-7.7516163257420398</v>
      </c>
    </row>
    <row r="786" spans="1:34" x14ac:dyDescent="0.2">
      <c r="A786" s="347">
        <f t="shared" ca="1" si="354"/>
        <v>1E-4</v>
      </c>
      <c r="B786" s="304">
        <f t="shared" ca="1" si="355"/>
        <v>34.72550000000107</v>
      </c>
      <c r="D786" s="306">
        <f t="shared" ca="1" si="356"/>
        <v>-0.71664957278878771</v>
      </c>
      <c r="E786" s="307">
        <f t="shared" ca="1" si="357"/>
        <v>-2.0915472973122391</v>
      </c>
      <c r="F786" s="304">
        <f t="shared" ca="1" si="358"/>
        <v>2.2109176165276905</v>
      </c>
      <c r="G786" s="306">
        <f t="shared" ca="1" si="359"/>
        <v>11.286065429544037</v>
      </c>
      <c r="H786" s="307">
        <f t="shared" ca="1" si="360"/>
        <v>-121.55406011283515</v>
      </c>
      <c r="I786" s="304">
        <f t="shared" ca="1" si="361"/>
        <v>122.07688070554018</v>
      </c>
      <c r="J786" s="306">
        <f t="shared" ca="1" si="362"/>
        <v>786.02923903053897</v>
      </c>
      <c r="K786" s="307">
        <f t="shared" ca="1" si="363"/>
        <v>-11.48312835081529</v>
      </c>
      <c r="L786" s="304">
        <f t="shared" ca="1" si="348"/>
        <v>786.11311326529187</v>
      </c>
      <c r="M786" s="306">
        <f t="shared" ca="1" si="364"/>
        <v>-1.4782136470432554</v>
      </c>
      <c r="N786" s="304">
        <f t="shared" ca="1" si="365"/>
        <v>-84.695403194219651</v>
      </c>
      <c r="P786" s="310">
        <f t="shared" ca="1" si="366"/>
        <v>23</v>
      </c>
      <c r="Q786" s="304">
        <f t="shared" ca="1" si="367"/>
        <v>0</v>
      </c>
      <c r="R786" s="306">
        <f t="shared" ca="1" si="368"/>
        <v>0</v>
      </c>
      <c r="S786" s="307">
        <f t="shared" ca="1" si="369"/>
        <v>7.4799999999999969</v>
      </c>
      <c r="T786" s="304">
        <f t="shared" ca="1" si="349"/>
        <v>73.37879999999997</v>
      </c>
      <c r="U786" s="311">
        <f t="shared" ca="1" si="350"/>
        <v>0</v>
      </c>
      <c r="V786" s="306">
        <f t="shared" ca="1" si="351"/>
        <v>1.2264074913431622</v>
      </c>
      <c r="W786" s="304">
        <f t="shared" ca="1" si="352"/>
        <v>57.982614156156146</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2.0163345283731511</v>
      </c>
      <c r="AH786" s="304">
        <f t="shared" ca="1" si="376"/>
        <v>-7.751651355279491</v>
      </c>
    </row>
    <row r="787" spans="1:34" x14ac:dyDescent="0.2">
      <c r="A787" s="347">
        <f t="shared" ca="1" si="354"/>
        <v>1E-4</v>
      </c>
      <c r="B787" s="304">
        <f t="shared" ca="1" si="355"/>
        <v>34.725600000001073</v>
      </c>
      <c r="D787" s="306">
        <f t="shared" ca="1" si="356"/>
        <v>-0.71664707698373775</v>
      </c>
      <c r="E787" s="307">
        <f t="shared" ca="1" si="357"/>
        <v>-2.0915118856804176</v>
      </c>
      <c r="F787" s="304">
        <f t="shared" ca="1" si="358"/>
        <v>2.2108833078414136</v>
      </c>
      <c r="G787" s="306">
        <f t="shared" ca="1" si="359"/>
        <v>11.285993764836338</v>
      </c>
      <c r="H787" s="307">
        <f t="shared" ca="1" si="360"/>
        <v>-121.55426926402372</v>
      </c>
      <c r="I787" s="304">
        <f t="shared" ca="1" si="361"/>
        <v>122.07708233559116</v>
      </c>
      <c r="J787" s="306">
        <f t="shared" ca="1" si="362"/>
        <v>786.02923903053897</v>
      </c>
      <c r="K787" s="307">
        <f t="shared" ca="1" si="363"/>
        <v>-11.495283767284134</v>
      </c>
      <c r="L787" s="304">
        <f t="shared" ca="1" si="348"/>
        <v>786.11329091920243</v>
      </c>
      <c r="M787" s="306">
        <f t="shared" ca="1" si="364"/>
        <v>-1.478214389966602</v>
      </c>
      <c r="N787" s="304">
        <f t="shared" ca="1" si="365"/>
        <v>-84.695445760591923</v>
      </c>
      <c r="P787" s="310">
        <f t="shared" ca="1" si="366"/>
        <v>23</v>
      </c>
      <c r="Q787" s="304">
        <f t="shared" ca="1" si="367"/>
        <v>0</v>
      </c>
      <c r="R787" s="306">
        <f t="shared" ca="1" si="368"/>
        <v>0</v>
      </c>
      <c r="S787" s="307">
        <f t="shared" ca="1" si="369"/>
        <v>7.4799999999999969</v>
      </c>
      <c r="T787" s="304">
        <f t="shared" ca="1" si="349"/>
        <v>73.37879999999997</v>
      </c>
      <c r="U787" s="311">
        <f t="shared" ca="1" si="350"/>
        <v>0</v>
      </c>
      <c r="V787" s="306">
        <f t="shared" ca="1" si="351"/>
        <v>1.2264089820939419</v>
      </c>
      <c r="W787" s="304">
        <f t="shared" ca="1" si="352"/>
        <v>57.982876172547186</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2.0163001729352512</v>
      </c>
      <c r="AH787" s="304">
        <f t="shared" ca="1" si="376"/>
        <v>-7.7516863845128565</v>
      </c>
    </row>
    <row r="788" spans="1:34" x14ac:dyDescent="0.2">
      <c r="A788" s="347">
        <f t="shared" ca="1" si="354"/>
        <v>1E-4</v>
      </c>
      <c r="B788" s="304">
        <f t="shared" ca="1" si="355"/>
        <v>34.725700000001076</v>
      </c>
      <c r="D788" s="306">
        <f t="shared" ca="1" si="356"/>
        <v>-0.71664458115370677</v>
      </c>
      <c r="E788" s="307">
        <f t="shared" ca="1" si="357"/>
        <v>-2.0914764743559644</v>
      </c>
      <c r="F788" s="304">
        <f t="shared" ca="1" si="358"/>
        <v>2.2108489994754112</v>
      </c>
      <c r="G788" s="306">
        <f t="shared" ca="1" si="359"/>
        <v>11.285922100378222</v>
      </c>
      <c r="H788" s="307">
        <f t="shared" ca="1" si="360"/>
        <v>-121.55447841167116</v>
      </c>
      <c r="I788" s="304">
        <f t="shared" ca="1" si="361"/>
        <v>122.07728396220664</v>
      </c>
      <c r="J788" s="306">
        <f t="shared" ca="1" si="362"/>
        <v>786.02923903053897</v>
      </c>
      <c r="K788" s="307">
        <f t="shared" ca="1" si="363"/>
        <v>-11.507439204667918</v>
      </c>
      <c r="L788" s="304">
        <f t="shared" ca="1" si="348"/>
        <v>786.11346876133427</v>
      </c>
      <c r="M788" s="306">
        <f t="shared" ca="1" si="364"/>
        <v>-1.4782151328827771</v>
      </c>
      <c r="N788" s="304">
        <f t="shared" ca="1" si="365"/>
        <v>-84.695488326553289</v>
      </c>
      <c r="P788" s="310">
        <f t="shared" ca="1" si="366"/>
        <v>23</v>
      </c>
      <c r="Q788" s="304">
        <f t="shared" ca="1" si="367"/>
        <v>0</v>
      </c>
      <c r="R788" s="306">
        <f t="shared" ca="1" si="368"/>
        <v>0</v>
      </c>
      <c r="S788" s="307">
        <f t="shared" ca="1" si="369"/>
        <v>7.4799999999999969</v>
      </c>
      <c r="T788" s="304">
        <f t="shared" ca="1" si="349"/>
        <v>73.37879999999997</v>
      </c>
      <c r="U788" s="311">
        <f t="shared" ca="1" si="350"/>
        <v>0</v>
      </c>
      <c r="V788" s="306">
        <f t="shared" ca="1" si="351"/>
        <v>1.2264104728490999</v>
      </c>
      <c r="W788" s="304">
        <f t="shared" ca="1" si="352"/>
        <v>57.983138186663695</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2.0162658177895363</v>
      </c>
      <c r="AH788" s="304">
        <f t="shared" ca="1" si="376"/>
        <v>-7.7517214134421408</v>
      </c>
    </row>
    <row r="789" spans="1:34" x14ac:dyDescent="0.2">
      <c r="A789" s="347">
        <f t="shared" ca="1" si="354"/>
        <v>1E-4</v>
      </c>
      <c r="B789" s="304">
        <f t="shared" ca="1" si="355"/>
        <v>34.72580000000108</v>
      </c>
      <c r="D789" s="306">
        <f t="shared" ca="1" si="356"/>
        <v>-0.71664208529869788</v>
      </c>
      <c r="E789" s="307">
        <f t="shared" ca="1" si="357"/>
        <v>-2.0914410633388787</v>
      </c>
      <c r="F789" s="304">
        <f t="shared" ca="1" si="358"/>
        <v>2.2108146914296833</v>
      </c>
      <c r="G789" s="306">
        <f t="shared" ca="1" si="359"/>
        <v>11.285850436169692</v>
      </c>
      <c r="H789" s="307">
        <f t="shared" ca="1" si="360"/>
        <v>-121.55468755577749</v>
      </c>
      <c r="I789" s="304">
        <f t="shared" ca="1" si="361"/>
        <v>122.07748558538663</v>
      </c>
      <c r="J789" s="306">
        <f t="shared" ca="1" si="362"/>
        <v>786.02923903053897</v>
      </c>
      <c r="K789" s="307">
        <f t="shared" ca="1" si="363"/>
        <v>-11.51959466296629</v>
      </c>
      <c r="L789" s="304">
        <f t="shared" ca="1" si="348"/>
        <v>786.11364679168832</v>
      </c>
      <c r="M789" s="306">
        <f t="shared" ca="1" si="364"/>
        <v>-1.4782158757917807</v>
      </c>
      <c r="N789" s="304">
        <f t="shared" ca="1" si="365"/>
        <v>-84.695530892103747</v>
      </c>
      <c r="P789" s="310">
        <f t="shared" ca="1" si="366"/>
        <v>23</v>
      </c>
      <c r="Q789" s="304">
        <f t="shared" ca="1" si="367"/>
        <v>0</v>
      </c>
      <c r="R789" s="306">
        <f t="shared" ca="1" si="368"/>
        <v>0</v>
      </c>
      <c r="S789" s="307">
        <f t="shared" ca="1" si="369"/>
        <v>7.4799999999999969</v>
      </c>
      <c r="T789" s="304">
        <f t="shared" ca="1" si="349"/>
        <v>73.37879999999997</v>
      </c>
      <c r="U789" s="311">
        <f t="shared" ca="1" si="350"/>
        <v>0</v>
      </c>
      <c r="V789" s="306">
        <f t="shared" ca="1" si="351"/>
        <v>1.2264119636086357</v>
      </c>
      <c r="W789" s="304">
        <f t="shared" ca="1" si="352"/>
        <v>57.98340019850562</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2.0162314629360099</v>
      </c>
      <c r="AH789" s="304">
        <f t="shared" ca="1" si="376"/>
        <v>-7.7517564420673422</v>
      </c>
    </row>
    <row r="790" spans="1:34" x14ac:dyDescent="0.2">
      <c r="A790" s="347">
        <f t="shared" ca="1" si="354"/>
        <v>1E-4</v>
      </c>
      <c r="B790" s="304">
        <f t="shared" ca="1" si="355"/>
        <v>34.725900000001083</v>
      </c>
      <c r="D790" s="306">
        <f t="shared" ca="1" si="356"/>
        <v>-0.71663958941871009</v>
      </c>
      <c r="E790" s="307">
        <f t="shared" ca="1" si="357"/>
        <v>-2.0914056526291667</v>
      </c>
      <c r="F790" s="304">
        <f t="shared" ca="1" si="358"/>
        <v>2.2107803837042357</v>
      </c>
      <c r="G790" s="306">
        <f t="shared" ca="1" si="359"/>
        <v>11.285778772210751</v>
      </c>
      <c r="H790" s="307">
        <f t="shared" ca="1" si="360"/>
        <v>-121.55489669634275</v>
      </c>
      <c r="I790" s="304">
        <f t="shared" ca="1" si="361"/>
        <v>122.07768720513114</v>
      </c>
      <c r="J790" s="306">
        <f t="shared" ca="1" si="362"/>
        <v>786.02923903053897</v>
      </c>
      <c r="K790" s="307">
        <f t="shared" ca="1" si="363"/>
        <v>-11.531750142178895</v>
      </c>
      <c r="L790" s="304">
        <f t="shared" ca="1" si="348"/>
        <v>786.11382501026515</v>
      </c>
      <c r="M790" s="306">
        <f t="shared" ca="1" si="364"/>
        <v>-1.478216618693613</v>
      </c>
      <c r="N790" s="304">
        <f t="shared" ca="1" si="365"/>
        <v>-84.695573457243341</v>
      </c>
      <c r="P790" s="310">
        <f t="shared" ca="1" si="366"/>
        <v>23</v>
      </c>
      <c r="Q790" s="304">
        <f t="shared" ca="1" si="367"/>
        <v>0</v>
      </c>
      <c r="R790" s="306">
        <f t="shared" ca="1" si="368"/>
        <v>0</v>
      </c>
      <c r="S790" s="307">
        <f t="shared" ca="1" si="369"/>
        <v>7.4799999999999969</v>
      </c>
      <c r="T790" s="304">
        <f t="shared" ca="1" si="349"/>
        <v>73.37879999999997</v>
      </c>
      <c r="U790" s="311">
        <f t="shared" ca="1" si="350"/>
        <v>0</v>
      </c>
      <c r="V790" s="306">
        <f t="shared" ca="1" si="351"/>
        <v>1.22641345437255</v>
      </c>
      <c r="W790" s="304">
        <f t="shared" ca="1" si="352"/>
        <v>57.983662208073014</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2.0161971083746755</v>
      </c>
      <c r="AH790" s="304">
        <f t="shared" ca="1" si="376"/>
        <v>-7.7517914703884552</v>
      </c>
    </row>
    <row r="791" spans="1:34" x14ac:dyDescent="0.2">
      <c r="A791" s="347">
        <f t="shared" ca="1" si="354"/>
        <v>1E-4</v>
      </c>
      <c r="B791" s="304">
        <f t="shared" ca="1" si="355"/>
        <v>34.726000000001086</v>
      </c>
      <c r="D791" s="306">
        <f t="shared" ca="1" si="356"/>
        <v>-0.7166370935137456</v>
      </c>
      <c r="E791" s="307">
        <f t="shared" ca="1" si="357"/>
        <v>-2.0913702422268221</v>
      </c>
      <c r="F791" s="304">
        <f t="shared" ca="1" si="358"/>
        <v>2.2107460762990638</v>
      </c>
      <c r="G791" s="306">
        <f t="shared" ca="1" si="359"/>
        <v>11.2857071085014</v>
      </c>
      <c r="H791" s="307">
        <f t="shared" ca="1" si="360"/>
        <v>-121.55510583336698</v>
      </c>
      <c r="I791" s="304">
        <f t="shared" ca="1" si="361"/>
        <v>122.07788882144025</v>
      </c>
      <c r="J791" s="306">
        <f t="shared" ca="1" si="362"/>
        <v>786.02923903053897</v>
      </c>
      <c r="K791" s="307">
        <f t="shared" ca="1" si="363"/>
        <v>-11.543905642305381</v>
      </c>
      <c r="L791" s="304">
        <f t="shared" ca="1" si="348"/>
        <v>786.11400341706587</v>
      </c>
      <c r="M791" s="306">
        <f t="shared" ca="1" si="364"/>
        <v>-1.4782173615882739</v>
      </c>
      <c r="N791" s="304">
        <f t="shared" ca="1" si="365"/>
        <v>-84.695616021972029</v>
      </c>
      <c r="P791" s="310">
        <f t="shared" ca="1" si="366"/>
        <v>23</v>
      </c>
      <c r="Q791" s="304">
        <f t="shared" ca="1" si="367"/>
        <v>0</v>
      </c>
      <c r="R791" s="306">
        <f t="shared" ca="1" si="368"/>
        <v>0</v>
      </c>
      <c r="S791" s="307">
        <f t="shared" ca="1" si="369"/>
        <v>7.4799999999999969</v>
      </c>
      <c r="T791" s="304">
        <f t="shared" ca="1" si="349"/>
        <v>73.37879999999997</v>
      </c>
      <c r="U791" s="311">
        <f t="shared" ca="1" si="350"/>
        <v>0</v>
      </c>
      <c r="V791" s="306">
        <f t="shared" ca="1" si="351"/>
        <v>1.2264149451408424</v>
      </c>
      <c r="W791" s="304">
        <f t="shared" ca="1" si="352"/>
        <v>57.983924215365874</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2.0161627541055287</v>
      </c>
      <c r="AH791" s="304">
        <f t="shared" ca="1" si="376"/>
        <v>-7.7518264984054861</v>
      </c>
    </row>
    <row r="792" spans="1:34" x14ac:dyDescent="0.2">
      <c r="A792" s="347">
        <f t="shared" ca="1" si="354"/>
        <v>1E-4</v>
      </c>
      <c r="B792" s="304">
        <f t="shared" ca="1" si="355"/>
        <v>34.72610000000109</v>
      </c>
      <c r="D792" s="306">
        <f t="shared" ca="1" si="356"/>
        <v>-0.71663459758380565</v>
      </c>
      <c r="E792" s="307">
        <f t="shared" ca="1" si="357"/>
        <v>-2.091334832131845</v>
      </c>
      <c r="F792" s="304">
        <f t="shared" ca="1" si="358"/>
        <v>2.2107117692141678</v>
      </c>
      <c r="G792" s="306">
        <f t="shared" ca="1" si="359"/>
        <v>11.285635445041642</v>
      </c>
      <c r="H792" s="307">
        <f t="shared" ca="1" si="360"/>
        <v>-121.55531496685019</v>
      </c>
      <c r="I792" s="304">
        <f t="shared" ca="1" si="361"/>
        <v>122.07809043431394</v>
      </c>
      <c r="J792" s="306">
        <f t="shared" ca="1" si="362"/>
        <v>786.02923903053897</v>
      </c>
      <c r="K792" s="307">
        <f t="shared" ca="1" si="363"/>
        <v>-11.556061163345392</v>
      </c>
      <c r="L792" s="304">
        <f t="shared" ca="1" si="348"/>
        <v>786.11418201209119</v>
      </c>
      <c r="M792" s="306">
        <f t="shared" ca="1" si="364"/>
        <v>-1.4782181044757638</v>
      </c>
      <c r="N792" s="304">
        <f t="shared" ca="1" si="365"/>
        <v>-84.695658586289852</v>
      </c>
      <c r="P792" s="310">
        <f t="shared" ca="1" si="366"/>
        <v>23</v>
      </c>
      <c r="Q792" s="304">
        <f t="shared" ca="1" si="367"/>
        <v>0</v>
      </c>
      <c r="R792" s="306">
        <f t="shared" ca="1" si="368"/>
        <v>0</v>
      </c>
      <c r="S792" s="307">
        <f t="shared" ca="1" si="369"/>
        <v>7.4799999999999969</v>
      </c>
      <c r="T792" s="304">
        <f t="shared" ca="1" si="349"/>
        <v>73.37879999999997</v>
      </c>
      <c r="U792" s="311">
        <f t="shared" ca="1" si="350"/>
        <v>0</v>
      </c>
      <c r="V792" s="306">
        <f t="shared" ca="1" si="351"/>
        <v>1.2264164359135123</v>
      </c>
      <c r="W792" s="304">
        <f t="shared" ca="1" si="352"/>
        <v>57.984186220384146</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2.0161284001285686</v>
      </c>
      <c r="AH792" s="304">
        <f t="shared" ca="1" si="376"/>
        <v>-7.7518615261184358</v>
      </c>
    </row>
    <row r="793" spans="1:34" x14ac:dyDescent="0.2">
      <c r="A793" s="347">
        <f t="shared" ca="1" si="354"/>
        <v>1E-4</v>
      </c>
      <c r="B793" s="304">
        <f t="shared" ca="1" si="355"/>
        <v>34.726200000001093</v>
      </c>
      <c r="D793" s="306">
        <f t="shared" ca="1" si="356"/>
        <v>-0.7166321016288878</v>
      </c>
      <c r="E793" s="307">
        <f t="shared" ca="1" si="357"/>
        <v>-2.0912994223442434</v>
      </c>
      <c r="F793" s="304">
        <f t="shared" ca="1" si="358"/>
        <v>2.2106774624495551</v>
      </c>
      <c r="G793" s="306">
        <f t="shared" ca="1" si="359"/>
        <v>11.285563781831479</v>
      </c>
      <c r="H793" s="307">
        <f t="shared" ca="1" si="360"/>
        <v>-121.55552409679242</v>
      </c>
      <c r="I793" s="304">
        <f t="shared" ca="1" si="361"/>
        <v>122.07829204375227</v>
      </c>
      <c r="J793" s="306">
        <f t="shared" ca="1" si="362"/>
        <v>786.02923903053897</v>
      </c>
      <c r="K793" s="307">
        <f t="shared" ca="1" si="363"/>
        <v>-11.568216705298575</v>
      </c>
      <c r="L793" s="304">
        <f t="shared" ca="1" si="348"/>
        <v>786.1143607953419</v>
      </c>
      <c r="M793" s="306">
        <f t="shared" ca="1" si="364"/>
        <v>-1.4782188473560829</v>
      </c>
      <c r="N793" s="304">
        <f t="shared" ca="1" si="365"/>
        <v>-84.695701150196825</v>
      </c>
      <c r="P793" s="310">
        <f t="shared" ca="1" si="366"/>
        <v>23</v>
      </c>
      <c r="Q793" s="304">
        <f t="shared" ca="1" si="367"/>
        <v>0</v>
      </c>
      <c r="R793" s="306">
        <f t="shared" ca="1" si="368"/>
        <v>0</v>
      </c>
      <c r="S793" s="307">
        <f t="shared" ca="1" si="369"/>
        <v>7.4799999999999969</v>
      </c>
      <c r="T793" s="304">
        <f t="shared" ca="1" si="349"/>
        <v>73.37879999999997</v>
      </c>
      <c r="U793" s="311">
        <f t="shared" ca="1" si="350"/>
        <v>0</v>
      </c>
      <c r="V793" s="306">
        <f t="shared" ca="1" si="351"/>
        <v>1.2264179266905606</v>
      </c>
      <c r="W793" s="304">
        <f t="shared" ca="1" si="352"/>
        <v>57.984448223127892</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2.0160940464438024</v>
      </c>
      <c r="AH793" s="304">
        <f t="shared" ca="1" si="376"/>
        <v>-7.7518965535272955</v>
      </c>
    </row>
    <row r="794" spans="1:34" x14ac:dyDescent="0.2">
      <c r="A794" s="347">
        <f t="shared" ca="1" si="354"/>
        <v>1E-4</v>
      </c>
      <c r="B794" s="304">
        <f t="shared" ca="1" si="355"/>
        <v>34.726300000001096</v>
      </c>
      <c r="D794" s="306">
        <f t="shared" ca="1" si="356"/>
        <v>-0.71662960564899403</v>
      </c>
      <c r="E794" s="307">
        <f t="shared" ca="1" si="357"/>
        <v>-2.0912640128640074</v>
      </c>
      <c r="F794" s="304">
        <f t="shared" ca="1" si="358"/>
        <v>2.2106431560052164</v>
      </c>
      <c r="G794" s="306">
        <f t="shared" ca="1" si="359"/>
        <v>11.285492118870915</v>
      </c>
      <c r="H794" s="307">
        <f t="shared" ca="1" si="360"/>
        <v>-121.55573322319371</v>
      </c>
      <c r="I794" s="304">
        <f t="shared" ca="1" si="361"/>
        <v>122.07849364975526</v>
      </c>
      <c r="J794" s="306">
        <f t="shared" ca="1" si="362"/>
        <v>786.02923903053897</v>
      </c>
      <c r="K794" s="307">
        <f t="shared" ca="1" si="363"/>
        <v>-11.580372268164574</v>
      </c>
      <c r="L794" s="304">
        <f t="shared" ca="1" si="348"/>
        <v>786.11453976681889</v>
      </c>
      <c r="M794" s="306">
        <f t="shared" ca="1" si="364"/>
        <v>-1.4782195902292308</v>
      </c>
      <c r="N794" s="304">
        <f t="shared" ca="1" si="365"/>
        <v>-84.695743713692906</v>
      </c>
      <c r="P794" s="310">
        <f t="shared" ca="1" si="366"/>
        <v>23</v>
      </c>
      <c r="Q794" s="304">
        <f t="shared" ca="1" si="367"/>
        <v>0</v>
      </c>
      <c r="R794" s="306">
        <f t="shared" ca="1" si="368"/>
        <v>0</v>
      </c>
      <c r="S794" s="307">
        <f t="shared" ca="1" si="369"/>
        <v>7.4799999999999969</v>
      </c>
      <c r="T794" s="304">
        <f t="shared" ca="1" si="349"/>
        <v>73.37879999999997</v>
      </c>
      <c r="U794" s="311">
        <f t="shared" ca="1" si="350"/>
        <v>0</v>
      </c>
      <c r="V794" s="306">
        <f t="shared" ca="1" si="351"/>
        <v>1.2264194174719865</v>
      </c>
      <c r="W794" s="304">
        <f t="shared" ca="1" si="352"/>
        <v>57.984710223597084</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2.0160596930512265</v>
      </c>
      <c r="AH794" s="304">
        <f t="shared" ca="1" si="376"/>
        <v>-7.7519315806320739</v>
      </c>
    </row>
    <row r="795" spans="1:34" x14ac:dyDescent="0.2">
      <c r="A795" s="347">
        <f t="shared" ca="1" si="354"/>
        <v>1E-4</v>
      </c>
      <c r="B795" s="304">
        <f t="shared" ca="1" si="355"/>
        <v>34.726400000001099</v>
      </c>
      <c r="D795" s="306">
        <f t="shared" ca="1" si="356"/>
        <v>-0.71662710964412735</v>
      </c>
      <c r="E795" s="307">
        <f t="shared" ca="1" si="357"/>
        <v>-2.0912286036911416</v>
      </c>
      <c r="F795" s="304">
        <f t="shared" ca="1" si="358"/>
        <v>2.2106088498811585</v>
      </c>
      <c r="G795" s="306">
        <f t="shared" ca="1" si="359"/>
        <v>11.285420456159951</v>
      </c>
      <c r="H795" s="307">
        <f t="shared" ca="1" si="360"/>
        <v>-121.55594234605408</v>
      </c>
      <c r="I795" s="304">
        <f t="shared" ca="1" si="361"/>
        <v>122.07869525232294</v>
      </c>
      <c r="J795" s="306">
        <f t="shared" ca="1" si="362"/>
        <v>786.02923903053897</v>
      </c>
      <c r="K795" s="307">
        <f t="shared" ca="1" si="363"/>
        <v>-11.592527851943036</v>
      </c>
      <c r="L795" s="304">
        <f t="shared" ca="1" si="348"/>
        <v>786.11471892652298</v>
      </c>
      <c r="M795" s="306">
        <f t="shared" ca="1" si="364"/>
        <v>-1.478220333095208</v>
      </c>
      <c r="N795" s="304">
        <f t="shared" ca="1" si="365"/>
        <v>-84.695786276778136</v>
      </c>
      <c r="P795" s="310">
        <f t="shared" ca="1" si="366"/>
        <v>23</v>
      </c>
      <c r="Q795" s="304">
        <f t="shared" ca="1" si="367"/>
        <v>0</v>
      </c>
      <c r="R795" s="306">
        <f t="shared" ca="1" si="368"/>
        <v>0</v>
      </c>
      <c r="S795" s="307">
        <f t="shared" ca="1" si="369"/>
        <v>7.4799999999999969</v>
      </c>
      <c r="T795" s="304">
        <f t="shared" ca="1" si="349"/>
        <v>73.37879999999997</v>
      </c>
      <c r="U795" s="311">
        <f t="shared" ca="1" si="350"/>
        <v>0</v>
      </c>
      <c r="V795" s="306">
        <f t="shared" ca="1" si="351"/>
        <v>1.2264209082577906</v>
      </c>
      <c r="W795" s="304">
        <f t="shared" ca="1" si="352"/>
        <v>57.984972221791764</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2.0160253399508381</v>
      </c>
      <c r="AH795" s="304">
        <f t="shared" ca="1" si="376"/>
        <v>-7.7519666074327684</v>
      </c>
    </row>
    <row r="796" spans="1:34" x14ac:dyDescent="0.2">
      <c r="A796" s="347">
        <f t="shared" ca="1" si="354"/>
        <v>1E-4</v>
      </c>
      <c r="B796" s="304">
        <f t="shared" ca="1" si="355"/>
        <v>34.726500000001103</v>
      </c>
      <c r="D796" s="306">
        <f t="shared" ca="1" si="356"/>
        <v>-0.7166246136142862</v>
      </c>
      <c r="E796" s="307">
        <f t="shared" ca="1" si="357"/>
        <v>-2.0911931948256406</v>
      </c>
      <c r="F796" s="304">
        <f t="shared" ca="1" si="358"/>
        <v>2.210574544077375</v>
      </c>
      <c r="G796" s="306">
        <f t="shared" ca="1" si="359"/>
        <v>11.28534879369859</v>
      </c>
      <c r="H796" s="307">
        <f t="shared" ca="1" si="360"/>
        <v>-121.55615146537356</v>
      </c>
      <c r="I796" s="304">
        <f t="shared" ca="1" si="361"/>
        <v>122.07889685145534</v>
      </c>
      <c r="J796" s="306">
        <f t="shared" ca="1" si="362"/>
        <v>786.02923903053897</v>
      </c>
      <c r="K796" s="307">
        <f t="shared" ca="1" si="363"/>
        <v>-11.604683456633607</v>
      </c>
      <c r="L796" s="304">
        <f t="shared" ca="1" si="348"/>
        <v>786.11489827445507</v>
      </c>
      <c r="M796" s="306">
        <f t="shared" ca="1" si="364"/>
        <v>-1.4782210759540146</v>
      </c>
      <c r="N796" s="304">
        <f t="shared" ca="1" si="365"/>
        <v>-84.695828839452545</v>
      </c>
      <c r="P796" s="310">
        <f t="shared" ca="1" si="366"/>
        <v>23</v>
      </c>
      <c r="Q796" s="304">
        <f t="shared" ca="1" si="367"/>
        <v>0</v>
      </c>
      <c r="R796" s="306">
        <f t="shared" ca="1" si="368"/>
        <v>0</v>
      </c>
      <c r="S796" s="307">
        <f t="shared" ca="1" si="369"/>
        <v>7.4799999999999969</v>
      </c>
      <c r="T796" s="304">
        <f t="shared" ca="1" si="349"/>
        <v>73.37879999999997</v>
      </c>
      <c r="U796" s="311">
        <f t="shared" ca="1" si="350"/>
        <v>0</v>
      </c>
      <c r="V796" s="306">
        <f t="shared" ca="1" si="351"/>
        <v>1.2264223990479728</v>
      </c>
      <c r="W796" s="304">
        <f t="shared" ca="1" si="352"/>
        <v>57.985234217711898</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2.0159909871426365</v>
      </c>
      <c r="AH796" s="304">
        <f t="shared" ca="1" si="376"/>
        <v>-7.7520016339293836</v>
      </c>
    </row>
    <row r="797" spans="1:34" x14ac:dyDescent="0.2">
      <c r="A797" s="347">
        <f t="shared" ca="1" si="354"/>
        <v>1E-4</v>
      </c>
      <c r="B797" s="304">
        <f t="shared" ca="1" si="355"/>
        <v>34.726600000001106</v>
      </c>
      <c r="D797" s="306">
        <f t="shared" ca="1" si="356"/>
        <v>-0.7166221175594697</v>
      </c>
      <c r="E797" s="307">
        <f t="shared" ca="1" si="357"/>
        <v>-2.0911577862675088</v>
      </c>
      <c r="F797" s="304">
        <f t="shared" ca="1" si="358"/>
        <v>2.2105402385938704</v>
      </c>
      <c r="G797" s="306">
        <f t="shared" ca="1" si="359"/>
        <v>11.285277131486835</v>
      </c>
      <c r="H797" s="307">
        <f t="shared" ca="1" si="360"/>
        <v>-121.55636058115219</v>
      </c>
      <c r="I797" s="304">
        <f t="shared" ca="1" si="361"/>
        <v>122.0790984471525</v>
      </c>
      <c r="J797" s="306">
        <f t="shared" ca="1" si="362"/>
        <v>786.02923903053897</v>
      </c>
      <c r="K797" s="307">
        <f t="shared" ca="1" si="363"/>
        <v>-11.616839082235932</v>
      </c>
      <c r="L797" s="304">
        <f t="shared" ca="1" si="348"/>
        <v>786.11507781061596</v>
      </c>
      <c r="M797" s="306">
        <f t="shared" ca="1" si="364"/>
        <v>-1.4782218188056504</v>
      </c>
      <c r="N797" s="304">
        <f t="shared" ca="1" si="365"/>
        <v>-84.695871401716076</v>
      </c>
      <c r="P797" s="310">
        <f t="shared" ca="1" si="366"/>
        <v>23</v>
      </c>
      <c r="Q797" s="304">
        <f t="shared" ca="1" si="367"/>
        <v>0</v>
      </c>
      <c r="R797" s="306">
        <f t="shared" ca="1" si="368"/>
        <v>0</v>
      </c>
      <c r="S797" s="307">
        <f t="shared" ca="1" si="369"/>
        <v>7.4799999999999969</v>
      </c>
      <c r="T797" s="304">
        <f t="shared" ca="1" si="349"/>
        <v>73.37879999999997</v>
      </c>
      <c r="U797" s="311">
        <f t="shared" ca="1" si="350"/>
        <v>0</v>
      </c>
      <c r="V797" s="306">
        <f t="shared" ca="1" si="351"/>
        <v>1.2264238898425324</v>
      </c>
      <c r="W797" s="304">
        <f t="shared" ca="1" si="352"/>
        <v>57.985496211357486</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2.0159566346266278</v>
      </c>
      <c r="AH797" s="304">
        <f t="shared" ca="1" si="376"/>
        <v>-7.7520366601219148</v>
      </c>
    </row>
    <row r="798" spans="1:34" x14ac:dyDescent="0.2">
      <c r="A798" s="347">
        <f t="shared" ca="1" si="354"/>
        <v>1E-4</v>
      </c>
      <c r="B798" s="304">
        <f t="shared" ca="1" si="355"/>
        <v>34.726700000001109</v>
      </c>
      <c r="D798" s="306">
        <f t="shared" ca="1" si="356"/>
        <v>-0.71661962147968294</v>
      </c>
      <c r="E798" s="307">
        <f t="shared" ca="1" si="357"/>
        <v>-2.0911223780167463</v>
      </c>
      <c r="F798" s="304">
        <f t="shared" ca="1" si="358"/>
        <v>2.2105059334306469</v>
      </c>
      <c r="G798" s="306">
        <f t="shared" ca="1" si="359"/>
        <v>11.285205469524687</v>
      </c>
      <c r="H798" s="307">
        <f t="shared" ca="1" si="360"/>
        <v>-121.55656969338999</v>
      </c>
      <c r="I798" s="304">
        <f t="shared" ca="1" si="361"/>
        <v>122.07930003941441</v>
      </c>
      <c r="J798" s="306">
        <f t="shared" ca="1" si="362"/>
        <v>786.02923903053897</v>
      </c>
      <c r="K798" s="307">
        <f t="shared" ca="1" si="363"/>
        <v>-11.62899472874966</v>
      </c>
      <c r="L798" s="304">
        <f t="shared" ca="1" si="348"/>
        <v>786.11525753500644</v>
      </c>
      <c r="M798" s="306">
        <f t="shared" ca="1" si="364"/>
        <v>-1.4782225616501159</v>
      </c>
      <c r="N798" s="304">
        <f t="shared" ca="1" si="365"/>
        <v>-84.695913963568785</v>
      </c>
      <c r="P798" s="310">
        <f t="shared" ca="1" si="366"/>
        <v>23</v>
      </c>
      <c r="Q798" s="304">
        <f t="shared" ca="1" si="367"/>
        <v>0</v>
      </c>
      <c r="R798" s="306">
        <f t="shared" ca="1" si="368"/>
        <v>0</v>
      </c>
      <c r="S798" s="307">
        <f t="shared" ca="1" si="369"/>
        <v>7.4799999999999969</v>
      </c>
      <c r="T798" s="304">
        <f t="shared" ca="1" si="349"/>
        <v>73.37879999999997</v>
      </c>
      <c r="U798" s="311">
        <f t="shared" ca="1" si="350"/>
        <v>0</v>
      </c>
      <c r="V798" s="306">
        <f t="shared" ca="1" si="351"/>
        <v>1.2264253806414704</v>
      </c>
      <c r="W798" s="304">
        <f t="shared" ca="1" si="352"/>
        <v>57.98575820272854</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2.0159222824028049</v>
      </c>
      <c r="AH798" s="304">
        <f t="shared" ca="1" si="376"/>
        <v>-7.7520716860103622</v>
      </c>
    </row>
    <row r="799" spans="1:34" x14ac:dyDescent="0.2">
      <c r="A799" s="347">
        <f t="shared" ca="1" si="354"/>
        <v>1E-4</v>
      </c>
      <c r="B799" s="304">
        <f t="shared" ca="1" si="355"/>
        <v>34.726800000001113</v>
      </c>
      <c r="D799" s="306">
        <f t="shared" ca="1" si="356"/>
        <v>-0.71661712537492228</v>
      </c>
      <c r="E799" s="307">
        <f t="shared" ca="1" si="357"/>
        <v>-2.0910869700733512</v>
      </c>
      <c r="F799" s="304">
        <f t="shared" ca="1" si="358"/>
        <v>2.2104716285877015</v>
      </c>
      <c r="G799" s="306">
        <f t="shared" ca="1" si="359"/>
        <v>11.28513380781215</v>
      </c>
      <c r="H799" s="307">
        <f t="shared" ca="1" si="360"/>
        <v>-121.556778802087</v>
      </c>
      <c r="I799" s="304">
        <f t="shared" ca="1" si="361"/>
        <v>122.07950162824113</v>
      </c>
      <c r="J799" s="306">
        <f t="shared" ca="1" si="362"/>
        <v>786.02923903053897</v>
      </c>
      <c r="K799" s="307">
        <f t="shared" ca="1" si="363"/>
        <v>-11.641150396174433</v>
      </c>
      <c r="L799" s="304">
        <f t="shared" ca="1" si="348"/>
        <v>786.11543744762741</v>
      </c>
      <c r="M799" s="306">
        <f t="shared" ca="1" si="364"/>
        <v>-1.4782233044874109</v>
      </c>
      <c r="N799" s="304">
        <f t="shared" ca="1" si="365"/>
        <v>-84.695956525010644</v>
      </c>
      <c r="P799" s="310">
        <f t="shared" ca="1" si="366"/>
        <v>23</v>
      </c>
      <c r="Q799" s="304">
        <f t="shared" ca="1" si="367"/>
        <v>0</v>
      </c>
      <c r="R799" s="306">
        <f t="shared" ca="1" si="368"/>
        <v>0</v>
      </c>
      <c r="S799" s="307">
        <f t="shared" ca="1" si="369"/>
        <v>7.4799999999999969</v>
      </c>
      <c r="T799" s="304">
        <f t="shared" ca="1" si="349"/>
        <v>73.37879999999997</v>
      </c>
      <c r="U799" s="311">
        <f t="shared" ca="1" si="350"/>
        <v>0</v>
      </c>
      <c r="V799" s="306">
        <f t="shared" ca="1" si="351"/>
        <v>1.2264268714447859</v>
      </c>
      <c r="W799" s="304">
        <f t="shared" ca="1" si="352"/>
        <v>57.986020191825048</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2.0158879304711768</v>
      </c>
      <c r="AH799" s="304">
        <f t="shared" ca="1" si="376"/>
        <v>-7.7521067115947275</v>
      </c>
    </row>
    <row r="800" spans="1:34" x14ac:dyDescent="0.2">
      <c r="A800" s="347">
        <f t="shared" ca="1" si="354"/>
        <v>1E-4</v>
      </c>
      <c r="B800" s="304">
        <f t="shared" ca="1" si="355"/>
        <v>34.726900000001116</v>
      </c>
      <c r="D800" s="306">
        <f t="shared" ca="1" si="356"/>
        <v>-0.7166146292451907</v>
      </c>
      <c r="E800" s="307">
        <f t="shared" ca="1" si="357"/>
        <v>-2.0910515624373245</v>
      </c>
      <c r="F800" s="304">
        <f t="shared" ca="1" si="358"/>
        <v>2.2104373240650363</v>
      </c>
      <c r="G800" s="306">
        <f t="shared" ca="1" si="359"/>
        <v>11.285062146349226</v>
      </c>
      <c r="H800" s="307">
        <f t="shared" ca="1" si="360"/>
        <v>-121.55698790724324</v>
      </c>
      <c r="I800" s="304">
        <f t="shared" ca="1" si="361"/>
        <v>122.07970321363271</v>
      </c>
      <c r="J800" s="306">
        <f t="shared" ca="1" si="362"/>
        <v>786.02923903053897</v>
      </c>
      <c r="K800" s="307">
        <f t="shared" ca="1" si="363"/>
        <v>-11.6533060845099</v>
      </c>
      <c r="L800" s="304">
        <f t="shared" ca="1" si="348"/>
        <v>786.11561754847958</v>
      </c>
      <c r="M800" s="306">
        <f t="shared" ca="1" si="364"/>
        <v>-1.4782240473175354</v>
      </c>
      <c r="N800" s="304">
        <f t="shared" ca="1" si="365"/>
        <v>-84.695999086041681</v>
      </c>
      <c r="P800" s="310">
        <f t="shared" ca="1" si="366"/>
        <v>23</v>
      </c>
      <c r="Q800" s="304">
        <f t="shared" ca="1" si="367"/>
        <v>0</v>
      </c>
      <c r="R800" s="306">
        <f t="shared" ca="1" si="368"/>
        <v>0</v>
      </c>
      <c r="S800" s="307">
        <f t="shared" ca="1" si="369"/>
        <v>7.4799999999999969</v>
      </c>
      <c r="T800" s="304">
        <f t="shared" ca="1" si="349"/>
        <v>73.37879999999997</v>
      </c>
      <c r="U800" s="311">
        <f t="shared" ca="1" si="350"/>
        <v>0</v>
      </c>
      <c r="V800" s="306">
        <f t="shared" ca="1" si="351"/>
        <v>1.226428362252479</v>
      </c>
      <c r="W800" s="304">
        <f t="shared" ca="1" si="352"/>
        <v>57.986282178647023</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2.0158535788317353</v>
      </c>
      <c r="AH800" s="304">
        <f t="shared" ca="1" si="376"/>
        <v>-7.7521417368750098</v>
      </c>
    </row>
    <row r="801" spans="1:34" x14ac:dyDescent="0.2">
      <c r="A801" s="347">
        <f t="shared" ca="1" si="354"/>
        <v>1E-4</v>
      </c>
      <c r="B801" s="304">
        <f t="shared" ca="1" si="355"/>
        <v>34.727000000001119</v>
      </c>
      <c r="D801" s="306">
        <f t="shared" ca="1" si="356"/>
        <v>-0.71661213309048999</v>
      </c>
      <c r="E801" s="307">
        <f t="shared" ca="1" si="357"/>
        <v>-2.0910161551086661</v>
      </c>
      <c r="F801" s="304">
        <f t="shared" ca="1" si="358"/>
        <v>2.2104030198626519</v>
      </c>
      <c r="G801" s="306">
        <f t="shared" ca="1" si="359"/>
        <v>11.284990485135918</v>
      </c>
      <c r="H801" s="307">
        <f t="shared" ca="1" si="360"/>
        <v>-121.55719700885875</v>
      </c>
      <c r="I801" s="304">
        <f t="shared" ca="1" si="361"/>
        <v>122.07990479558913</v>
      </c>
      <c r="J801" s="306">
        <f t="shared" ca="1" si="362"/>
        <v>786.02923903053897</v>
      </c>
      <c r="K801" s="307">
        <f t="shared" ca="1" si="363"/>
        <v>-11.665461793755705</v>
      </c>
      <c r="L801" s="304">
        <f t="shared" ca="1" si="348"/>
        <v>786.11579783756395</v>
      </c>
      <c r="M801" s="306">
        <f t="shared" ca="1" si="364"/>
        <v>-1.4782247901404899</v>
      </c>
      <c r="N801" s="304">
        <f t="shared" ca="1" si="365"/>
        <v>-84.696041646661897</v>
      </c>
      <c r="P801" s="310">
        <f t="shared" ca="1" si="366"/>
        <v>23</v>
      </c>
      <c r="Q801" s="304">
        <f t="shared" ca="1" si="367"/>
        <v>0</v>
      </c>
      <c r="R801" s="306">
        <f t="shared" ca="1" si="368"/>
        <v>0</v>
      </c>
      <c r="S801" s="307">
        <f t="shared" ca="1" si="369"/>
        <v>7.4799999999999969</v>
      </c>
      <c r="T801" s="304">
        <f t="shared" ca="1" si="349"/>
        <v>73.37879999999997</v>
      </c>
      <c r="U801" s="311">
        <f t="shared" ca="1" si="350"/>
        <v>0</v>
      </c>
      <c r="V801" s="306">
        <f t="shared" ca="1" si="351"/>
        <v>1.2264298530645501</v>
      </c>
      <c r="W801" s="304">
        <f t="shared" ca="1" si="352"/>
        <v>57.986544163194466</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2.0158192274844859</v>
      </c>
      <c r="AH801" s="304">
        <f t="shared" ca="1" si="376"/>
        <v>-7.7521767618512092</v>
      </c>
    </row>
    <row r="802" spans="1:34" x14ac:dyDescent="0.2">
      <c r="A802" s="347">
        <f t="shared" ca="1" si="354"/>
        <v>1E-4</v>
      </c>
      <c r="B802" s="304">
        <f t="shared" ca="1" si="355"/>
        <v>34.727100000001123</v>
      </c>
      <c r="D802" s="306">
        <f t="shared" ca="1" si="356"/>
        <v>-0.71660963691081792</v>
      </c>
      <c r="E802" s="307">
        <f t="shared" ca="1" si="357"/>
        <v>-2.0909807480873752</v>
      </c>
      <c r="F802" s="304">
        <f t="shared" ca="1" si="358"/>
        <v>2.2103687159805472</v>
      </c>
      <c r="G802" s="306">
        <f t="shared" ca="1" si="359"/>
        <v>11.284918824172227</v>
      </c>
      <c r="H802" s="307">
        <f t="shared" ca="1" si="360"/>
        <v>-121.55740610693356</v>
      </c>
      <c r="I802" s="304">
        <f t="shared" ca="1" si="361"/>
        <v>122.08010637411046</v>
      </c>
      <c r="J802" s="306">
        <f t="shared" ca="1" si="362"/>
        <v>786.02923903053897</v>
      </c>
      <c r="K802" s="307">
        <f t="shared" ca="1" si="363"/>
        <v>-11.677617523911495</v>
      </c>
      <c r="L802" s="304">
        <f t="shared" ca="1" si="348"/>
        <v>786.11597831488132</v>
      </c>
      <c r="M802" s="306">
        <f t="shared" ca="1" si="364"/>
        <v>-1.4782255329562743</v>
      </c>
      <c r="N802" s="304">
        <f t="shared" ca="1" si="365"/>
        <v>-84.696084206871305</v>
      </c>
      <c r="P802" s="310">
        <f t="shared" ca="1" si="366"/>
        <v>23</v>
      </c>
      <c r="Q802" s="304">
        <f t="shared" ca="1" si="367"/>
        <v>0</v>
      </c>
      <c r="R802" s="306">
        <f t="shared" ca="1" si="368"/>
        <v>0</v>
      </c>
      <c r="S802" s="307">
        <f t="shared" ca="1" si="369"/>
        <v>7.4799999999999969</v>
      </c>
      <c r="T802" s="304">
        <f t="shared" ca="1" si="349"/>
        <v>73.37879999999997</v>
      </c>
      <c r="U802" s="311">
        <f t="shared" ca="1" si="350"/>
        <v>0</v>
      </c>
      <c r="V802" s="306">
        <f t="shared" ca="1" si="351"/>
        <v>1.2264313438809984</v>
      </c>
      <c r="W802" s="304">
        <f t="shared" ca="1" si="352"/>
        <v>57.986806145467362</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2.0157848764294251</v>
      </c>
      <c r="AH802" s="304">
        <f t="shared" ca="1" si="376"/>
        <v>-7.7522117865233273</v>
      </c>
    </row>
    <row r="803" spans="1:34" x14ac:dyDescent="0.2">
      <c r="A803" s="347">
        <f t="shared" ca="1" si="354"/>
        <v>1E-4</v>
      </c>
      <c r="B803" s="304">
        <f t="shared" ca="1" si="355"/>
        <v>34.727200000001126</v>
      </c>
      <c r="D803" s="306">
        <f t="shared" ca="1" si="356"/>
        <v>-0.7166071407061757</v>
      </c>
      <c r="E803" s="307">
        <f t="shared" ca="1" si="357"/>
        <v>-2.0909453413734527</v>
      </c>
      <c r="F803" s="304">
        <f t="shared" ca="1" si="358"/>
        <v>2.2103344124187241</v>
      </c>
      <c r="G803" s="306">
        <f t="shared" ca="1" si="359"/>
        <v>11.284847163458156</v>
      </c>
      <c r="H803" s="307">
        <f t="shared" ca="1" si="360"/>
        <v>-121.5576152014677</v>
      </c>
      <c r="I803" s="304">
        <f t="shared" ca="1" si="361"/>
        <v>122.08030794919671</v>
      </c>
      <c r="J803" s="306">
        <f t="shared" ca="1" si="362"/>
        <v>786.02923903053897</v>
      </c>
      <c r="K803" s="307">
        <f t="shared" ca="1" si="363"/>
        <v>-11.689773274976915</v>
      </c>
      <c r="L803" s="304">
        <f t="shared" ca="1" si="348"/>
        <v>786.11615898043237</v>
      </c>
      <c r="M803" s="306">
        <f t="shared" ca="1" si="364"/>
        <v>-1.4782262757648887</v>
      </c>
      <c r="N803" s="304">
        <f t="shared" ca="1" si="365"/>
        <v>-84.696126766669892</v>
      </c>
      <c r="P803" s="310">
        <f t="shared" ca="1" si="366"/>
        <v>23</v>
      </c>
      <c r="Q803" s="304">
        <f t="shared" ca="1" si="367"/>
        <v>0</v>
      </c>
      <c r="R803" s="306">
        <f t="shared" ca="1" si="368"/>
        <v>0</v>
      </c>
      <c r="S803" s="307">
        <f t="shared" ca="1" si="369"/>
        <v>7.4799999999999969</v>
      </c>
      <c r="T803" s="304">
        <f t="shared" ca="1" si="349"/>
        <v>73.37879999999997</v>
      </c>
      <c r="U803" s="311">
        <f t="shared" ca="1" si="350"/>
        <v>0</v>
      </c>
      <c r="V803" s="306">
        <f t="shared" ca="1" si="351"/>
        <v>1.2264328347018252</v>
      </c>
      <c r="W803" s="304">
        <f t="shared" ca="1" si="352"/>
        <v>57.987068125465768</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2.0157505256665571</v>
      </c>
      <c r="AH803" s="304">
        <f t="shared" ca="1" si="376"/>
        <v>-7.7522468108913616</v>
      </c>
    </row>
    <row r="804" spans="1:34" x14ac:dyDescent="0.2">
      <c r="A804" s="347">
        <f t="shared" ca="1" si="354"/>
        <v>1E-4</v>
      </c>
      <c r="B804" s="304">
        <f t="shared" ca="1" si="355"/>
        <v>34.727300000001129</v>
      </c>
      <c r="D804" s="306">
        <f t="shared" ca="1" si="356"/>
        <v>-0.71660464447656569</v>
      </c>
      <c r="E804" s="307">
        <f t="shared" ca="1" si="357"/>
        <v>-2.0909099349668923</v>
      </c>
      <c r="F804" s="304">
        <f t="shared" ca="1" si="358"/>
        <v>2.2103001091771763</v>
      </c>
      <c r="G804" s="306">
        <f t="shared" ca="1" si="359"/>
        <v>11.284775502993709</v>
      </c>
      <c r="H804" s="307">
        <f t="shared" ca="1" si="360"/>
        <v>-121.55782429246119</v>
      </c>
      <c r="I804" s="304">
        <f t="shared" ca="1" si="361"/>
        <v>122.0805095208479</v>
      </c>
      <c r="J804" s="306">
        <f t="shared" ca="1" si="362"/>
        <v>786.02923903053897</v>
      </c>
      <c r="K804" s="307">
        <f t="shared" ca="1" si="363"/>
        <v>-11.70192904695161</v>
      </c>
      <c r="L804" s="304">
        <f t="shared" ca="1" si="348"/>
        <v>786.11633983421825</v>
      </c>
      <c r="M804" s="306">
        <f t="shared" ca="1" si="364"/>
        <v>-1.4782270185663333</v>
      </c>
      <c r="N804" s="304">
        <f t="shared" ca="1" si="365"/>
        <v>-84.696169326057685</v>
      </c>
      <c r="P804" s="310">
        <f t="shared" ca="1" si="366"/>
        <v>23</v>
      </c>
      <c r="Q804" s="304">
        <f t="shared" ca="1" si="367"/>
        <v>0</v>
      </c>
      <c r="R804" s="306">
        <f t="shared" ca="1" si="368"/>
        <v>0</v>
      </c>
      <c r="S804" s="307">
        <f t="shared" ca="1" si="369"/>
        <v>7.4799999999999969</v>
      </c>
      <c r="T804" s="304">
        <f t="shared" ca="1" si="349"/>
        <v>73.37879999999997</v>
      </c>
      <c r="U804" s="311">
        <f t="shared" ca="1" si="350"/>
        <v>0</v>
      </c>
      <c r="V804" s="306">
        <f t="shared" ca="1" si="351"/>
        <v>1.2264343255270289</v>
      </c>
      <c r="W804" s="304">
        <f t="shared" ca="1" si="352"/>
        <v>57.987330103189592</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2.0157161751958705</v>
      </c>
      <c r="AH804" s="304">
        <f t="shared" ca="1" si="376"/>
        <v>-7.75228183495532</v>
      </c>
    </row>
    <row r="805" spans="1:34" x14ac:dyDescent="0.2">
      <c r="A805" s="347">
        <f t="shared" ca="1" si="354"/>
        <v>1E-4</v>
      </c>
      <c r="B805" s="304">
        <f t="shared" ca="1" si="355"/>
        <v>34.727400000001133</v>
      </c>
      <c r="D805" s="306">
        <f t="shared" ca="1" si="356"/>
        <v>-0.71660214822198631</v>
      </c>
      <c r="E805" s="307">
        <f t="shared" ca="1" si="357"/>
        <v>-2.0908745288677055</v>
      </c>
      <c r="F805" s="304">
        <f t="shared" ca="1" si="358"/>
        <v>2.210265806255916</v>
      </c>
      <c r="G805" s="306">
        <f t="shared" ca="1" si="359"/>
        <v>11.284703842778887</v>
      </c>
      <c r="H805" s="307">
        <f t="shared" ca="1" si="360"/>
        <v>-121.55803337991408</v>
      </c>
      <c r="I805" s="304">
        <f t="shared" ca="1" si="361"/>
        <v>122.08071108906408</v>
      </c>
      <c r="J805" s="306">
        <f t="shared" ca="1" si="362"/>
        <v>786.02923903053897</v>
      </c>
      <c r="K805" s="307">
        <f t="shared" ca="1" si="363"/>
        <v>-11.714084839835229</v>
      </c>
      <c r="L805" s="304">
        <f t="shared" ca="1" si="348"/>
        <v>786.11652087623952</v>
      </c>
      <c r="M805" s="306">
        <f t="shared" ca="1" si="364"/>
        <v>-1.4782277613606081</v>
      </c>
      <c r="N805" s="304">
        <f t="shared" ca="1" si="365"/>
        <v>-84.696211885034671</v>
      </c>
      <c r="P805" s="310">
        <f t="shared" ca="1" si="366"/>
        <v>23</v>
      </c>
      <c r="Q805" s="304">
        <f t="shared" ca="1" si="367"/>
        <v>0</v>
      </c>
      <c r="R805" s="306">
        <f t="shared" ca="1" si="368"/>
        <v>0</v>
      </c>
      <c r="S805" s="307">
        <f t="shared" ca="1" si="369"/>
        <v>7.4799999999999969</v>
      </c>
      <c r="T805" s="304">
        <f t="shared" ca="1" si="349"/>
        <v>73.37879999999997</v>
      </c>
      <c r="U805" s="311">
        <f t="shared" ca="1" si="350"/>
        <v>0</v>
      </c>
      <c r="V805" s="306">
        <f t="shared" ca="1" si="351"/>
        <v>1.2264358163566107</v>
      </c>
      <c r="W805" s="304">
        <f t="shared" ca="1" si="352"/>
        <v>57.987592078638926</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2.0156818250173858</v>
      </c>
      <c r="AH805" s="304">
        <f t="shared" ca="1" si="376"/>
        <v>-7.7523168587151892</v>
      </c>
    </row>
    <row r="806" spans="1:34" x14ac:dyDescent="0.2">
      <c r="A806" s="347">
        <f t="shared" ca="1" si="354"/>
        <v>1E-4</v>
      </c>
      <c r="B806" s="304">
        <f t="shared" ca="1" si="355"/>
        <v>34.727500000001136</v>
      </c>
      <c r="D806" s="306">
        <f t="shared" ca="1" si="356"/>
        <v>-0.71659965194244024</v>
      </c>
      <c r="E806" s="307">
        <f t="shared" ca="1" si="357"/>
        <v>-2.0908391230758809</v>
      </c>
      <c r="F806" s="304">
        <f t="shared" ca="1" si="358"/>
        <v>2.2102315036549327</v>
      </c>
      <c r="G806" s="306">
        <f t="shared" ca="1" si="359"/>
        <v>11.284632182813693</v>
      </c>
      <c r="H806" s="307">
        <f t="shared" ca="1" si="360"/>
        <v>-121.55824246382639</v>
      </c>
      <c r="I806" s="304">
        <f t="shared" ca="1" si="361"/>
        <v>122.08091265384527</v>
      </c>
      <c r="J806" s="306">
        <f t="shared" ca="1" si="362"/>
        <v>786.02923903053897</v>
      </c>
      <c r="K806" s="307">
        <f t="shared" ca="1" si="363"/>
        <v>-11.726240653627416</v>
      </c>
      <c r="L806" s="304">
        <f t="shared" ca="1" si="348"/>
        <v>786.11670210649709</v>
      </c>
      <c r="M806" s="306">
        <f t="shared" ca="1" si="364"/>
        <v>-1.478228504147713</v>
      </c>
      <c r="N806" s="304">
        <f t="shared" ca="1" si="365"/>
        <v>-84.696254443600864</v>
      </c>
      <c r="P806" s="310">
        <f t="shared" ca="1" si="366"/>
        <v>23</v>
      </c>
      <c r="Q806" s="304">
        <f t="shared" ca="1" si="367"/>
        <v>0</v>
      </c>
      <c r="R806" s="306">
        <f t="shared" ca="1" si="368"/>
        <v>0</v>
      </c>
      <c r="S806" s="307">
        <f t="shared" ca="1" si="369"/>
        <v>7.4799999999999969</v>
      </c>
      <c r="T806" s="304">
        <f t="shared" ca="1" si="349"/>
        <v>73.37879999999997</v>
      </c>
      <c r="U806" s="311">
        <f t="shared" ca="1" si="350"/>
        <v>0</v>
      </c>
      <c r="V806" s="306">
        <f t="shared" ca="1" si="351"/>
        <v>1.2264373071905699</v>
      </c>
      <c r="W806" s="304">
        <f t="shared" ca="1" si="352"/>
        <v>57.987854051813727</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2.0156474751310824</v>
      </c>
      <c r="AH806" s="304">
        <f t="shared" ca="1" si="376"/>
        <v>-7.7523518821709825</v>
      </c>
    </row>
    <row r="807" spans="1:34" x14ac:dyDescent="0.2">
      <c r="A807" s="347">
        <f t="shared" ca="1" si="354"/>
        <v>1E-4</v>
      </c>
      <c r="B807" s="304">
        <f t="shared" ca="1" si="355"/>
        <v>34.727600000001139</v>
      </c>
      <c r="D807" s="306">
        <f t="shared" ca="1" si="356"/>
        <v>-0.71659715563792836</v>
      </c>
      <c r="E807" s="307">
        <f t="shared" ca="1" si="357"/>
        <v>-2.0908037175914229</v>
      </c>
      <c r="F807" s="304">
        <f t="shared" ca="1" si="358"/>
        <v>2.210197201374231</v>
      </c>
      <c r="G807" s="306">
        <f t="shared" ca="1" si="359"/>
        <v>11.284560523098129</v>
      </c>
      <c r="H807" s="307">
        <f t="shared" ca="1" si="360"/>
        <v>-121.55845154419815</v>
      </c>
      <c r="I807" s="304">
        <f t="shared" ca="1" si="361"/>
        <v>122.0811142151915</v>
      </c>
      <c r="J807" s="306">
        <f t="shared" ca="1" si="362"/>
        <v>786.02923903053897</v>
      </c>
      <c r="K807" s="307">
        <f t="shared" ca="1" si="363"/>
        <v>-11.738396488327817</v>
      </c>
      <c r="L807" s="304">
        <f t="shared" ca="1" si="348"/>
        <v>786.11688352499164</v>
      </c>
      <c r="M807" s="306">
        <f t="shared" ca="1" si="364"/>
        <v>-1.4782292469276483</v>
      </c>
      <c r="N807" s="304">
        <f t="shared" ca="1" si="365"/>
        <v>-84.696297001756264</v>
      </c>
      <c r="P807" s="310">
        <f t="shared" ca="1" si="366"/>
        <v>23</v>
      </c>
      <c r="Q807" s="304">
        <f t="shared" ca="1" si="367"/>
        <v>0</v>
      </c>
      <c r="R807" s="306">
        <f t="shared" ca="1" si="368"/>
        <v>0</v>
      </c>
      <c r="S807" s="307">
        <f t="shared" ca="1" si="369"/>
        <v>7.4799999999999969</v>
      </c>
      <c r="T807" s="304">
        <f t="shared" ca="1" si="349"/>
        <v>73.37879999999997</v>
      </c>
      <c r="U807" s="311">
        <f t="shared" ca="1" si="350"/>
        <v>0</v>
      </c>
      <c r="V807" s="306">
        <f t="shared" ca="1" si="351"/>
        <v>1.2264387980289067</v>
      </c>
      <c r="W807" s="304">
        <f t="shared" ca="1" si="352"/>
        <v>57.988116022714003</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2.0156131255369738</v>
      </c>
      <c r="AH807" s="304">
        <f t="shared" ca="1" si="376"/>
        <v>-7.7523869053226937</v>
      </c>
    </row>
    <row r="808" spans="1:34" x14ac:dyDescent="0.2">
      <c r="A808" s="347">
        <f t="shared" ca="1" si="354"/>
        <v>1E-4</v>
      </c>
      <c r="B808" s="304">
        <f t="shared" ca="1" si="355"/>
        <v>34.727700000001143</v>
      </c>
      <c r="D808" s="306">
        <f t="shared" ca="1" si="356"/>
        <v>-0.71659465930845057</v>
      </c>
      <c r="E808" s="307">
        <f t="shared" ca="1" si="357"/>
        <v>-2.0907683124143315</v>
      </c>
      <c r="F808" s="304">
        <f t="shared" ca="1" si="358"/>
        <v>2.2101628994138114</v>
      </c>
      <c r="G808" s="306">
        <f t="shared" ca="1" si="359"/>
        <v>11.284488863632198</v>
      </c>
      <c r="H808" s="307">
        <f t="shared" ca="1" si="360"/>
        <v>-121.55866062102939</v>
      </c>
      <c r="I808" s="304">
        <f t="shared" ca="1" si="361"/>
        <v>122.0813157731028</v>
      </c>
      <c r="J808" s="306">
        <f t="shared" ca="1" si="362"/>
        <v>786.02923903053897</v>
      </c>
      <c r="K808" s="307">
        <f t="shared" ca="1" si="363"/>
        <v>-11.750552343936079</v>
      </c>
      <c r="L808" s="304">
        <f t="shared" ca="1" si="348"/>
        <v>786.1170651317243</v>
      </c>
      <c r="M808" s="306">
        <f t="shared" ca="1" si="364"/>
        <v>-1.4782299897004143</v>
      </c>
      <c r="N808" s="304">
        <f t="shared" ca="1" si="365"/>
        <v>-84.696339559500885</v>
      </c>
      <c r="P808" s="310">
        <f t="shared" ca="1" si="366"/>
        <v>23</v>
      </c>
      <c r="Q808" s="304">
        <f t="shared" ca="1" si="367"/>
        <v>0</v>
      </c>
      <c r="R808" s="306">
        <f t="shared" ca="1" si="368"/>
        <v>0</v>
      </c>
      <c r="S808" s="307">
        <f t="shared" ca="1" si="369"/>
        <v>7.4799999999999969</v>
      </c>
      <c r="T808" s="304">
        <f t="shared" ca="1" si="349"/>
        <v>73.37879999999997</v>
      </c>
      <c r="U808" s="311">
        <f t="shared" ca="1" si="350"/>
        <v>0</v>
      </c>
      <c r="V808" s="306">
        <f t="shared" ca="1" si="351"/>
        <v>1.226440288871621</v>
      </c>
      <c r="W808" s="304">
        <f t="shared" ca="1" si="352"/>
        <v>57.988377991339753</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2.015578776235051</v>
      </c>
      <c r="AH808" s="304">
        <f t="shared" ca="1" si="376"/>
        <v>-7.7524219281703246</v>
      </c>
    </row>
    <row r="809" spans="1:34" x14ac:dyDescent="0.2">
      <c r="A809" s="347">
        <f t="shared" ca="1" si="354"/>
        <v>1E-4</v>
      </c>
      <c r="B809" s="304">
        <f t="shared" ca="1" si="355"/>
        <v>34.727800000001146</v>
      </c>
      <c r="D809" s="306">
        <f t="shared" ca="1" si="356"/>
        <v>-0.7165921629540063</v>
      </c>
      <c r="E809" s="307">
        <f t="shared" ca="1" si="357"/>
        <v>-2.0907329075446057</v>
      </c>
      <c r="F809" s="304">
        <f t="shared" ca="1" si="358"/>
        <v>2.2101285977736729</v>
      </c>
      <c r="G809" s="306">
        <f t="shared" ca="1" si="359"/>
        <v>11.284417204415902</v>
      </c>
      <c r="H809" s="307">
        <f t="shared" ca="1" si="360"/>
        <v>-121.55886969432014</v>
      </c>
      <c r="I809" s="304">
        <f t="shared" ca="1" si="361"/>
        <v>122.08151732757921</v>
      </c>
      <c r="J809" s="306">
        <f t="shared" ca="1" si="362"/>
        <v>786.02923903053897</v>
      </c>
      <c r="K809" s="307">
        <f t="shared" ca="1" si="363"/>
        <v>-11.762708220451847</v>
      </c>
      <c r="L809" s="304">
        <f t="shared" ca="1" si="348"/>
        <v>786.11724692669588</v>
      </c>
      <c r="M809" s="306">
        <f t="shared" ca="1" si="364"/>
        <v>-1.4782307324660109</v>
      </c>
      <c r="N809" s="304">
        <f t="shared" ca="1" si="365"/>
        <v>-84.696382116834741</v>
      </c>
      <c r="P809" s="310">
        <f t="shared" ca="1" si="366"/>
        <v>23</v>
      </c>
      <c r="Q809" s="304">
        <f t="shared" ca="1" si="367"/>
        <v>0</v>
      </c>
      <c r="R809" s="306">
        <f t="shared" ca="1" si="368"/>
        <v>0</v>
      </c>
      <c r="S809" s="307">
        <f t="shared" ca="1" si="369"/>
        <v>7.4799999999999969</v>
      </c>
      <c r="T809" s="304">
        <f t="shared" ca="1" si="349"/>
        <v>73.37879999999997</v>
      </c>
      <c r="U809" s="311">
        <f t="shared" ca="1" si="350"/>
        <v>0</v>
      </c>
      <c r="V809" s="306">
        <f t="shared" ca="1" si="351"/>
        <v>1.2264417797187128</v>
      </c>
      <c r="W809" s="304">
        <f t="shared" ca="1" si="352"/>
        <v>57.988639957690978</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2.015544427225322</v>
      </c>
      <c r="AH809" s="304">
        <f t="shared" ca="1" si="376"/>
        <v>-7.7524569507138743</v>
      </c>
    </row>
    <row r="810" spans="1:34" x14ac:dyDescent="0.2">
      <c r="A810" s="347">
        <f t="shared" ca="1" si="354"/>
        <v>1E-4</v>
      </c>
      <c r="B810" s="304">
        <f t="shared" ca="1" si="355"/>
        <v>34.727900000001149</v>
      </c>
      <c r="D810" s="306">
        <f t="shared" ca="1" si="356"/>
        <v>-0.71658966657459722</v>
      </c>
      <c r="E810" s="307">
        <f t="shared" ca="1" si="357"/>
        <v>-2.0906975029822474</v>
      </c>
      <c r="F810" s="304">
        <f t="shared" ca="1" si="358"/>
        <v>2.2100942964538182</v>
      </c>
      <c r="G810" s="306">
        <f t="shared" ca="1" si="359"/>
        <v>11.284345545449245</v>
      </c>
      <c r="H810" s="307">
        <f t="shared" ca="1" si="360"/>
        <v>-121.55907876407043</v>
      </c>
      <c r="I810" s="304">
        <f t="shared" ca="1" si="361"/>
        <v>122.08171887862072</v>
      </c>
      <c r="J810" s="306">
        <f t="shared" ca="1" si="362"/>
        <v>786.02923903053897</v>
      </c>
      <c r="K810" s="307">
        <f t="shared" ca="1" si="363"/>
        <v>-11.774864117874767</v>
      </c>
      <c r="L810" s="304">
        <f t="shared" ca="1" si="348"/>
        <v>786.11742890990695</v>
      </c>
      <c r="M810" s="306">
        <f t="shared" ca="1" si="364"/>
        <v>-1.4782314752244381</v>
      </c>
      <c r="N810" s="304">
        <f t="shared" ca="1" si="365"/>
        <v>-84.696424673757818</v>
      </c>
      <c r="P810" s="310">
        <f t="shared" ca="1" si="366"/>
        <v>23</v>
      </c>
      <c r="Q810" s="304">
        <f t="shared" ca="1" si="367"/>
        <v>0</v>
      </c>
      <c r="R810" s="306">
        <f t="shared" ca="1" si="368"/>
        <v>0</v>
      </c>
      <c r="S810" s="307">
        <f t="shared" ca="1" si="369"/>
        <v>7.4799999999999969</v>
      </c>
      <c r="T810" s="304">
        <f t="shared" ca="1" si="349"/>
        <v>73.37879999999997</v>
      </c>
      <c r="U810" s="311">
        <f t="shared" ca="1" si="350"/>
        <v>0</v>
      </c>
      <c r="V810" s="306">
        <f t="shared" ca="1" si="351"/>
        <v>1.226443270570182</v>
      </c>
      <c r="W810" s="304">
        <f t="shared" ca="1" si="352"/>
        <v>57.988901921767678</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2.0155100785077815</v>
      </c>
      <c r="AH810" s="304">
        <f t="shared" ca="1" si="376"/>
        <v>-7.7524919729533428</v>
      </c>
    </row>
    <row r="811" spans="1:34" x14ac:dyDescent="0.2">
      <c r="A811" s="347">
        <f t="shared" ca="1" si="354"/>
        <v>1E-4</v>
      </c>
      <c r="B811" s="304">
        <f t="shared" ca="1" si="355"/>
        <v>34.728000000001153</v>
      </c>
      <c r="D811" s="306">
        <f t="shared" ca="1" si="356"/>
        <v>-0.71658717017022477</v>
      </c>
      <c r="E811" s="307">
        <f t="shared" ca="1" si="357"/>
        <v>-2.0906620987272548</v>
      </c>
      <c r="F811" s="304">
        <f t="shared" ca="1" si="358"/>
        <v>2.2100599954542459</v>
      </c>
      <c r="G811" s="306">
        <f t="shared" ca="1" si="359"/>
        <v>11.284273886732228</v>
      </c>
      <c r="H811" s="307">
        <f t="shared" ca="1" si="360"/>
        <v>-121.55928783028031</v>
      </c>
      <c r="I811" s="304">
        <f t="shared" ca="1" si="361"/>
        <v>122.08192042622741</v>
      </c>
      <c r="J811" s="306">
        <f t="shared" ca="1" si="362"/>
        <v>786.02923903053897</v>
      </c>
      <c r="K811" s="307">
        <f t="shared" ca="1" si="363"/>
        <v>-11.787020036204485</v>
      </c>
      <c r="L811" s="304">
        <f t="shared" ca="1" si="348"/>
        <v>786.11761108135852</v>
      </c>
      <c r="M811" s="306">
        <f t="shared" ca="1" si="364"/>
        <v>-1.4782322179756961</v>
      </c>
      <c r="N811" s="304">
        <f t="shared" ca="1" si="365"/>
        <v>-84.69646723027013</v>
      </c>
      <c r="P811" s="310">
        <f t="shared" ca="1" si="366"/>
        <v>23</v>
      </c>
      <c r="Q811" s="304">
        <f t="shared" ca="1" si="367"/>
        <v>0</v>
      </c>
      <c r="R811" s="306">
        <f t="shared" ca="1" si="368"/>
        <v>0</v>
      </c>
      <c r="S811" s="307">
        <f t="shared" ca="1" si="369"/>
        <v>7.4799999999999969</v>
      </c>
      <c r="T811" s="304">
        <f t="shared" ca="1" si="349"/>
        <v>73.37879999999997</v>
      </c>
      <c r="U811" s="311">
        <f t="shared" ca="1" si="350"/>
        <v>0</v>
      </c>
      <c r="V811" s="306">
        <f t="shared" ca="1" si="351"/>
        <v>1.226444761426029</v>
      </c>
      <c r="W811" s="304">
        <f t="shared" ca="1" si="352"/>
        <v>57.989163883569887</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2.0154757300824349</v>
      </c>
      <c r="AH811" s="304">
        <f t="shared" ca="1" si="376"/>
        <v>-7.7525269948887301</v>
      </c>
    </row>
    <row r="812" spans="1:34" x14ac:dyDescent="0.2">
      <c r="A812" s="347">
        <f t="shared" ca="1" si="354"/>
        <v>1E-4</v>
      </c>
      <c r="B812" s="304">
        <f t="shared" ca="1" si="355"/>
        <v>34.728100000001156</v>
      </c>
      <c r="D812" s="306">
        <f t="shared" ca="1" si="356"/>
        <v>-0.71658467374088886</v>
      </c>
      <c r="E812" s="307">
        <f t="shared" ca="1" si="357"/>
        <v>-2.0906266947796244</v>
      </c>
      <c r="F812" s="304">
        <f t="shared" ca="1" si="358"/>
        <v>2.210025694774953</v>
      </c>
      <c r="G812" s="306">
        <f t="shared" ca="1" si="359"/>
        <v>11.284202228264855</v>
      </c>
      <c r="H812" s="307">
        <f t="shared" ca="1" si="360"/>
        <v>-121.5594968929498</v>
      </c>
      <c r="I812" s="304">
        <f t="shared" ca="1" si="361"/>
        <v>122.08212197039929</v>
      </c>
      <c r="J812" s="306">
        <f t="shared" ca="1" si="362"/>
        <v>786.02923903053897</v>
      </c>
      <c r="K812" s="307">
        <f t="shared" ca="1" si="363"/>
        <v>-11.799175975440646</v>
      </c>
      <c r="L812" s="304">
        <f t="shared" ca="1" si="348"/>
        <v>786.11779344105139</v>
      </c>
      <c r="M812" s="306">
        <f t="shared" ca="1" si="364"/>
        <v>-1.4782329607197853</v>
      </c>
      <c r="N812" s="304">
        <f t="shared" ca="1" si="365"/>
        <v>-84.696509786371692</v>
      </c>
      <c r="P812" s="310">
        <f t="shared" ca="1" si="366"/>
        <v>23</v>
      </c>
      <c r="Q812" s="304">
        <f t="shared" ca="1" si="367"/>
        <v>0</v>
      </c>
      <c r="R812" s="306">
        <f t="shared" ca="1" si="368"/>
        <v>0</v>
      </c>
      <c r="S812" s="307">
        <f t="shared" ca="1" si="369"/>
        <v>7.4799999999999969</v>
      </c>
      <c r="T812" s="304">
        <f t="shared" ca="1" si="349"/>
        <v>73.37879999999997</v>
      </c>
      <c r="U812" s="311">
        <f t="shared" ca="1" si="350"/>
        <v>0</v>
      </c>
      <c r="V812" s="306">
        <f t="shared" ca="1" si="351"/>
        <v>1.2264462522862531</v>
      </c>
      <c r="W812" s="304">
        <f t="shared" ca="1" si="352"/>
        <v>57.989425843097557</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2.0154413819492731</v>
      </c>
      <c r="AH812" s="304">
        <f t="shared" ca="1" si="376"/>
        <v>-7.7525620165200415</v>
      </c>
    </row>
    <row r="813" spans="1:34" x14ac:dyDescent="0.2">
      <c r="A813" s="347">
        <f t="shared" ca="1" si="354"/>
        <v>1E-4</v>
      </c>
      <c r="B813" s="304">
        <f t="shared" ca="1" si="355"/>
        <v>34.728200000001159</v>
      </c>
      <c r="D813" s="306">
        <f t="shared" ca="1" si="356"/>
        <v>-0.71658217728658891</v>
      </c>
      <c r="E813" s="307">
        <f t="shared" ca="1" si="357"/>
        <v>-2.0905912911393614</v>
      </c>
      <c r="F813" s="304">
        <f t="shared" ca="1" si="358"/>
        <v>2.2099913944159444</v>
      </c>
      <c r="G813" s="306">
        <f t="shared" ca="1" si="359"/>
        <v>11.284130570047125</v>
      </c>
      <c r="H813" s="307">
        <f t="shared" ca="1" si="360"/>
        <v>-121.55970595207891</v>
      </c>
      <c r="I813" s="304">
        <f t="shared" ca="1" si="361"/>
        <v>122.08232351113638</v>
      </c>
      <c r="J813" s="306">
        <f t="shared" ca="1" si="362"/>
        <v>786.02923903053897</v>
      </c>
      <c r="K813" s="307">
        <f t="shared" ca="1" si="363"/>
        <v>-11.811331935582897</v>
      </c>
      <c r="L813" s="304">
        <f t="shared" ca="1" si="348"/>
        <v>786.11797598898647</v>
      </c>
      <c r="M813" s="306">
        <f t="shared" ca="1" si="364"/>
        <v>-1.4782337034567052</v>
      </c>
      <c r="N813" s="304">
        <f t="shared" ca="1" si="365"/>
        <v>-84.696552342062503</v>
      </c>
      <c r="P813" s="310">
        <f t="shared" ca="1" si="366"/>
        <v>23</v>
      </c>
      <c r="Q813" s="304">
        <f t="shared" ca="1" si="367"/>
        <v>0</v>
      </c>
      <c r="R813" s="306">
        <f t="shared" ca="1" si="368"/>
        <v>0</v>
      </c>
      <c r="S813" s="307">
        <f t="shared" ca="1" si="369"/>
        <v>7.4799999999999969</v>
      </c>
      <c r="T813" s="304">
        <f t="shared" ca="1" si="349"/>
        <v>73.37879999999997</v>
      </c>
      <c r="U813" s="311">
        <f t="shared" ca="1" si="350"/>
        <v>0</v>
      </c>
      <c r="V813" s="306">
        <f t="shared" ca="1" si="351"/>
        <v>1.2264477431508547</v>
      </c>
      <c r="W813" s="304">
        <f t="shared" ca="1" si="352"/>
        <v>57.98968780035073</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2.015407034108307</v>
      </c>
      <c r="AH813" s="304">
        <f t="shared" ca="1" si="376"/>
        <v>-7.7525970378472699</v>
      </c>
    </row>
    <row r="814" spans="1:34" x14ac:dyDescent="0.2">
      <c r="A814" s="347">
        <f t="shared" ca="1" si="354"/>
        <v>1E-4</v>
      </c>
      <c r="B814" s="304">
        <f t="shared" ca="1" si="355"/>
        <v>34.728300000001163</v>
      </c>
      <c r="D814" s="306">
        <f t="shared" ca="1" si="356"/>
        <v>-0.71657968080732859</v>
      </c>
      <c r="E814" s="307">
        <f t="shared" ca="1" si="357"/>
        <v>-2.0905558878064614</v>
      </c>
      <c r="F814" s="304">
        <f t="shared" ca="1" si="358"/>
        <v>2.2099570943772178</v>
      </c>
      <c r="G814" s="306">
        <f t="shared" ca="1" si="359"/>
        <v>11.284058912079045</v>
      </c>
      <c r="H814" s="307">
        <f t="shared" ca="1" si="360"/>
        <v>-121.5599150076677</v>
      </c>
      <c r="I814" s="304">
        <f t="shared" ca="1" si="361"/>
        <v>122.08252504843871</v>
      </c>
      <c r="J814" s="306">
        <f t="shared" ca="1" si="362"/>
        <v>786.02923903053897</v>
      </c>
      <c r="K814" s="307">
        <f t="shared" ca="1" si="363"/>
        <v>-11.823487916630885</v>
      </c>
      <c r="L814" s="304">
        <f t="shared" ca="1" si="348"/>
        <v>786.11815872516456</v>
      </c>
      <c r="M814" s="306">
        <f t="shared" ca="1" si="364"/>
        <v>-1.4782344461864565</v>
      </c>
      <c r="N814" s="304">
        <f t="shared" ca="1" si="365"/>
        <v>-84.696594897342564</v>
      </c>
      <c r="P814" s="310">
        <f t="shared" ca="1" si="366"/>
        <v>23</v>
      </c>
      <c r="Q814" s="304">
        <f t="shared" ca="1" si="367"/>
        <v>0</v>
      </c>
      <c r="R814" s="306">
        <f t="shared" ca="1" si="368"/>
        <v>0</v>
      </c>
      <c r="S814" s="307">
        <f t="shared" ca="1" si="369"/>
        <v>7.4799999999999969</v>
      </c>
      <c r="T814" s="304">
        <f t="shared" ca="1" si="349"/>
        <v>73.37879999999997</v>
      </c>
      <c r="U814" s="311">
        <f t="shared" ca="1" si="350"/>
        <v>0</v>
      </c>
      <c r="V814" s="306">
        <f t="shared" ca="1" si="351"/>
        <v>1.2264492340198334</v>
      </c>
      <c r="W814" s="304">
        <f t="shared" ca="1" si="352"/>
        <v>57.98994975532937</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2.015372686559525</v>
      </c>
      <c r="AH814" s="304">
        <f t="shared" ca="1" si="376"/>
        <v>-7.7526320588704216</v>
      </c>
    </row>
    <row r="815" spans="1:34" x14ac:dyDescent="0.2">
      <c r="A815" s="347">
        <f t="shared" ca="1" si="354"/>
        <v>1E-4</v>
      </c>
      <c r="B815" s="304">
        <f t="shared" ca="1" si="355"/>
        <v>34.728400000001166</v>
      </c>
      <c r="D815" s="306">
        <f t="shared" ca="1" si="356"/>
        <v>-0.71657718430310513</v>
      </c>
      <c r="E815" s="307">
        <f t="shared" ca="1" si="357"/>
        <v>-2.090520484780928</v>
      </c>
      <c r="F815" s="304">
        <f t="shared" ca="1" si="358"/>
        <v>2.2099227946587758</v>
      </c>
      <c r="G815" s="306">
        <f t="shared" ca="1" si="359"/>
        <v>11.283987254360614</v>
      </c>
      <c r="H815" s="307">
        <f t="shared" ca="1" si="360"/>
        <v>-121.56012405971617</v>
      </c>
      <c r="I815" s="304">
        <f t="shared" ca="1" si="361"/>
        <v>122.08272658230632</v>
      </c>
      <c r="J815" s="306">
        <f t="shared" ca="1" si="362"/>
        <v>786.02923903053897</v>
      </c>
      <c r="K815" s="307">
        <f t="shared" ca="1" si="363"/>
        <v>-11.835643918584255</v>
      </c>
      <c r="L815" s="304">
        <f t="shared" ca="1" si="348"/>
        <v>786.11834164958634</v>
      </c>
      <c r="M815" s="306">
        <f t="shared" ca="1" si="364"/>
        <v>-1.4782351889090388</v>
      </c>
      <c r="N815" s="304">
        <f t="shared" ca="1" si="365"/>
        <v>-84.696637452211888</v>
      </c>
      <c r="P815" s="310">
        <f t="shared" ca="1" si="366"/>
        <v>23</v>
      </c>
      <c r="Q815" s="304">
        <f t="shared" ca="1" si="367"/>
        <v>0</v>
      </c>
      <c r="R815" s="306">
        <f t="shared" ca="1" si="368"/>
        <v>0</v>
      </c>
      <c r="S815" s="307">
        <f t="shared" ca="1" si="369"/>
        <v>7.4799999999999969</v>
      </c>
      <c r="T815" s="304">
        <f t="shared" ca="1" si="349"/>
        <v>73.37879999999997</v>
      </c>
      <c r="U815" s="311">
        <f t="shared" ca="1" si="350"/>
        <v>0</v>
      </c>
      <c r="V815" s="306">
        <f t="shared" ca="1" si="351"/>
        <v>1.2264507248931895</v>
      </c>
      <c r="W815" s="304">
        <f t="shared" ca="1" si="352"/>
        <v>57.990211708033506</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2.0153383393029394</v>
      </c>
      <c r="AH815" s="304">
        <f t="shared" ca="1" si="376"/>
        <v>-7.7526670795894912</v>
      </c>
    </row>
    <row r="816" spans="1:34" x14ac:dyDescent="0.2">
      <c r="A816" s="347">
        <f t="shared" ca="1" si="354"/>
        <v>1E-4</v>
      </c>
      <c r="B816" s="304">
        <f t="shared" ca="1" si="355"/>
        <v>34.728500000001169</v>
      </c>
      <c r="D816" s="306">
        <f t="shared" ca="1" si="356"/>
        <v>-0.7165746877739223</v>
      </c>
      <c r="E816" s="307">
        <f t="shared" ca="1" si="357"/>
        <v>-2.0904850820627594</v>
      </c>
      <c r="F816" s="304">
        <f t="shared" ca="1" si="358"/>
        <v>2.2098884952606177</v>
      </c>
      <c r="G816" s="306">
        <f t="shared" ca="1" si="359"/>
        <v>11.283915596891836</v>
      </c>
      <c r="H816" s="307">
        <f t="shared" ca="1" si="360"/>
        <v>-121.56033310822438</v>
      </c>
      <c r="I816" s="304">
        <f t="shared" ca="1" si="361"/>
        <v>122.08292811273922</v>
      </c>
      <c r="J816" s="306">
        <f t="shared" ca="1" si="362"/>
        <v>786.02923903053897</v>
      </c>
      <c r="K816" s="307">
        <f t="shared" ca="1" si="363"/>
        <v>-11.847799941442652</v>
      </c>
      <c r="L816" s="304">
        <f t="shared" ca="1" si="348"/>
        <v>786.11852476225283</v>
      </c>
      <c r="M816" s="306">
        <f t="shared" ca="1" si="364"/>
        <v>-1.4782359316244524</v>
      </c>
      <c r="N816" s="304">
        <f t="shared" ca="1" si="365"/>
        <v>-84.696680006670462</v>
      </c>
      <c r="P816" s="310">
        <f t="shared" ca="1" si="366"/>
        <v>23</v>
      </c>
      <c r="Q816" s="304">
        <f t="shared" ca="1" si="367"/>
        <v>0</v>
      </c>
      <c r="R816" s="306">
        <f t="shared" ca="1" si="368"/>
        <v>0</v>
      </c>
      <c r="S816" s="307">
        <f t="shared" ca="1" si="369"/>
        <v>7.4799999999999969</v>
      </c>
      <c r="T816" s="304">
        <f t="shared" ca="1" si="349"/>
        <v>73.37879999999997</v>
      </c>
      <c r="U816" s="311">
        <f t="shared" ca="1" si="350"/>
        <v>0</v>
      </c>
      <c r="V816" s="306">
        <f t="shared" ca="1" si="351"/>
        <v>1.226452215770923</v>
      </c>
      <c r="W816" s="304">
        <f t="shared" ca="1" si="352"/>
        <v>57.99047365846311</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2.0153039923385414</v>
      </c>
      <c r="AH816" s="304">
        <f t="shared" ca="1" si="376"/>
        <v>-7.7527021000044822</v>
      </c>
    </row>
    <row r="817" spans="1:34" x14ac:dyDescent="0.2">
      <c r="A817" s="347">
        <f t="shared" ca="1" si="354"/>
        <v>1E-4</v>
      </c>
      <c r="B817" s="304">
        <f t="shared" ca="1" si="355"/>
        <v>34.728600000001173</v>
      </c>
      <c r="D817" s="306">
        <f t="shared" ca="1" si="356"/>
        <v>-0.71657219121977955</v>
      </c>
      <c r="E817" s="307">
        <f t="shared" ca="1" si="357"/>
        <v>-2.0904496796519565</v>
      </c>
      <c r="F817" s="304">
        <f t="shared" ca="1" si="358"/>
        <v>2.2098541961827447</v>
      </c>
      <c r="G817" s="306">
        <f t="shared" ca="1" si="359"/>
        <v>11.283843939672714</v>
      </c>
      <c r="H817" s="307">
        <f t="shared" ca="1" si="360"/>
        <v>-121.56054215319234</v>
      </c>
      <c r="I817" s="304">
        <f t="shared" ca="1" si="361"/>
        <v>122.08312963973745</v>
      </c>
      <c r="J817" s="306">
        <f t="shared" ca="1" si="362"/>
        <v>786.02923903053897</v>
      </c>
      <c r="K817" s="307">
        <f t="shared" ca="1" si="363"/>
        <v>-11.859955985205723</v>
      </c>
      <c r="L817" s="304">
        <f t="shared" ca="1" si="348"/>
        <v>786.11870806316472</v>
      </c>
      <c r="M817" s="306">
        <f t="shared" ca="1" si="364"/>
        <v>-1.4782366743326976</v>
      </c>
      <c r="N817" s="304">
        <f t="shared" ca="1" si="365"/>
        <v>-84.696722560718314</v>
      </c>
      <c r="P817" s="310">
        <f t="shared" ca="1" si="366"/>
        <v>23</v>
      </c>
      <c r="Q817" s="304">
        <f t="shared" ca="1" si="367"/>
        <v>0</v>
      </c>
      <c r="R817" s="306">
        <f t="shared" ca="1" si="368"/>
        <v>0</v>
      </c>
      <c r="S817" s="307">
        <f t="shared" ca="1" si="369"/>
        <v>7.4799999999999969</v>
      </c>
      <c r="T817" s="304">
        <f t="shared" ca="1" si="349"/>
        <v>73.37879999999997</v>
      </c>
      <c r="U817" s="311">
        <f t="shared" ca="1" si="350"/>
        <v>0</v>
      </c>
      <c r="V817" s="306">
        <f t="shared" ca="1" si="351"/>
        <v>1.2264537066530337</v>
      </c>
      <c r="W817" s="304">
        <f t="shared" ca="1" si="352"/>
        <v>57.990735606618216</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2.015269645666339</v>
      </c>
      <c r="AH817" s="304">
        <f t="shared" ca="1" si="376"/>
        <v>-7.7527371201153921</v>
      </c>
    </row>
    <row r="818" spans="1:34" x14ac:dyDescent="0.2">
      <c r="A818" s="347">
        <f t="shared" ca="1" si="354"/>
        <v>1E-4</v>
      </c>
      <c r="B818" s="304">
        <f t="shared" ca="1" si="355"/>
        <v>34.728700000001176</v>
      </c>
      <c r="D818" s="306">
        <f t="shared" ca="1" si="356"/>
        <v>-0.71656969464067677</v>
      </c>
      <c r="E818" s="307">
        <f t="shared" ca="1" si="357"/>
        <v>-2.0904142775485166</v>
      </c>
      <c r="F818" s="304">
        <f t="shared" ca="1" si="358"/>
        <v>2.2098198974251542</v>
      </c>
      <c r="G818" s="306">
        <f t="shared" ca="1" si="359"/>
        <v>11.28377228270325</v>
      </c>
      <c r="H818" s="307">
        <f t="shared" ca="1" si="360"/>
        <v>-121.5607511946201</v>
      </c>
      <c r="I818" s="304">
        <f t="shared" ca="1" si="361"/>
        <v>122.08333116330104</v>
      </c>
      <c r="J818" s="306">
        <f t="shared" ca="1" si="362"/>
        <v>786.02923903053897</v>
      </c>
      <c r="K818" s="307">
        <f t="shared" ca="1" si="363"/>
        <v>-11.872112049873113</v>
      </c>
      <c r="L818" s="304">
        <f t="shared" ca="1" si="348"/>
        <v>786.11889155232302</v>
      </c>
      <c r="M818" s="306">
        <f t="shared" ca="1" si="364"/>
        <v>-1.4782374170337742</v>
      </c>
      <c r="N818" s="304">
        <f t="shared" ca="1" si="365"/>
        <v>-84.696765114355443</v>
      </c>
      <c r="P818" s="310">
        <f t="shared" ca="1" si="366"/>
        <v>23</v>
      </c>
      <c r="Q818" s="304">
        <f t="shared" ca="1" si="367"/>
        <v>0</v>
      </c>
      <c r="R818" s="306">
        <f t="shared" ca="1" si="368"/>
        <v>0</v>
      </c>
      <c r="S818" s="307">
        <f t="shared" ca="1" si="369"/>
        <v>7.4799999999999969</v>
      </c>
      <c r="T818" s="304">
        <f t="shared" ca="1" si="349"/>
        <v>73.37879999999997</v>
      </c>
      <c r="U818" s="311">
        <f t="shared" ca="1" si="350"/>
        <v>0</v>
      </c>
      <c r="V818" s="306">
        <f t="shared" ca="1" si="351"/>
        <v>1.2264551975395219</v>
      </c>
      <c r="W818" s="304">
        <f t="shared" ca="1" si="352"/>
        <v>57.990997552498818</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2.0152352992863216</v>
      </c>
      <c r="AH818" s="304">
        <f t="shared" ca="1" si="376"/>
        <v>-7.7527721399222242</v>
      </c>
    </row>
    <row r="819" spans="1:34" x14ac:dyDescent="0.2">
      <c r="A819" s="347">
        <f t="shared" ca="1" si="354"/>
        <v>1E-4</v>
      </c>
      <c r="B819" s="304">
        <f t="shared" ca="1" si="355"/>
        <v>34.728800000001179</v>
      </c>
      <c r="D819" s="306">
        <f t="shared" ca="1" si="356"/>
        <v>-0.7165671980366155</v>
      </c>
      <c r="E819" s="307">
        <f t="shared" ca="1" si="357"/>
        <v>-2.0903788757524406</v>
      </c>
      <c r="F819" s="304">
        <f t="shared" ca="1" si="358"/>
        <v>2.2097855989878483</v>
      </c>
      <c r="G819" s="306">
        <f t="shared" ca="1" si="359"/>
        <v>11.283700625983446</v>
      </c>
      <c r="H819" s="307">
        <f t="shared" ca="1" si="360"/>
        <v>-121.56096023250767</v>
      </c>
      <c r="I819" s="304">
        <f t="shared" ca="1" si="361"/>
        <v>122.08353268343004</v>
      </c>
      <c r="J819" s="306">
        <f t="shared" ca="1" si="362"/>
        <v>786.02923903053897</v>
      </c>
      <c r="K819" s="307">
        <f t="shared" ca="1" si="363"/>
        <v>-11.88426813544447</v>
      </c>
      <c r="L819" s="304">
        <f t="shared" ca="1" si="348"/>
        <v>786.11907522972842</v>
      </c>
      <c r="M819" s="306">
        <f t="shared" ca="1" si="364"/>
        <v>-1.4782381597276824</v>
      </c>
      <c r="N819" s="304">
        <f t="shared" ca="1" si="365"/>
        <v>-84.696807667581851</v>
      </c>
      <c r="P819" s="310">
        <f t="shared" ca="1" si="366"/>
        <v>23</v>
      </c>
      <c r="Q819" s="304">
        <f t="shared" ca="1" si="367"/>
        <v>0</v>
      </c>
      <c r="R819" s="306">
        <f t="shared" ca="1" si="368"/>
        <v>0</v>
      </c>
      <c r="S819" s="307">
        <f t="shared" ca="1" si="369"/>
        <v>7.4799999999999969</v>
      </c>
      <c r="T819" s="304">
        <f t="shared" ca="1" si="349"/>
        <v>73.37879999999997</v>
      </c>
      <c r="U819" s="311">
        <f t="shared" ca="1" si="350"/>
        <v>0</v>
      </c>
      <c r="V819" s="306">
        <f t="shared" ca="1" si="351"/>
        <v>1.2264566884303869</v>
      </c>
      <c r="W819" s="304">
        <f t="shared" ca="1" si="352"/>
        <v>57.991259496104909</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2.015200953198498</v>
      </c>
      <c r="AH819" s="304">
        <f t="shared" ca="1" si="376"/>
        <v>-7.7528071594249788</v>
      </c>
    </row>
    <row r="820" spans="1:34" x14ac:dyDescent="0.2">
      <c r="A820" s="347">
        <f t="shared" ca="1" si="354"/>
        <v>1E-4</v>
      </c>
      <c r="B820" s="304">
        <f t="shared" ca="1" si="355"/>
        <v>34.728900000001182</v>
      </c>
      <c r="D820" s="306">
        <f t="shared" ca="1" si="356"/>
        <v>-0.71656470140759698</v>
      </c>
      <c r="E820" s="307">
        <f t="shared" ca="1" si="357"/>
        <v>-2.0903434742637286</v>
      </c>
      <c r="F820" s="304">
        <f t="shared" ca="1" si="358"/>
        <v>2.2097513008708276</v>
      </c>
      <c r="G820" s="306">
        <f t="shared" ca="1" si="359"/>
        <v>11.283628969513305</v>
      </c>
      <c r="H820" s="307">
        <f t="shared" ca="1" si="360"/>
        <v>-121.56116926685509</v>
      </c>
      <c r="I820" s="304">
        <f t="shared" ca="1" si="361"/>
        <v>122.08373420012444</v>
      </c>
      <c r="J820" s="306">
        <f t="shared" ca="1" si="362"/>
        <v>786.02923903053897</v>
      </c>
      <c r="K820" s="307">
        <f t="shared" ca="1" si="363"/>
        <v>-11.896424241919439</v>
      </c>
      <c r="L820" s="304">
        <f t="shared" ca="1" si="348"/>
        <v>786.11925909538172</v>
      </c>
      <c r="M820" s="306">
        <f t="shared" ca="1" si="364"/>
        <v>-1.4782389024144225</v>
      </c>
      <c r="N820" s="304">
        <f t="shared" ca="1" si="365"/>
        <v>-84.696850220397565</v>
      </c>
      <c r="P820" s="310">
        <f t="shared" ca="1" si="366"/>
        <v>23</v>
      </c>
      <c r="Q820" s="304">
        <f t="shared" ca="1" si="367"/>
        <v>0</v>
      </c>
      <c r="R820" s="306">
        <f t="shared" ca="1" si="368"/>
        <v>0</v>
      </c>
      <c r="S820" s="307">
        <f t="shared" ca="1" si="369"/>
        <v>7.4799999999999969</v>
      </c>
      <c r="T820" s="304">
        <f t="shared" ca="1" si="349"/>
        <v>73.37879999999997</v>
      </c>
      <c r="U820" s="311">
        <f t="shared" ca="1" si="350"/>
        <v>0</v>
      </c>
      <c r="V820" s="306">
        <f t="shared" ca="1" si="351"/>
        <v>1.2264581793256293</v>
      </c>
      <c r="W820" s="304">
        <f t="shared" ca="1" si="352"/>
        <v>57.991521437436489</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2.0151666074028647</v>
      </c>
      <c r="AH820" s="304">
        <f t="shared" ca="1" si="376"/>
        <v>-7.7528421786236539</v>
      </c>
    </row>
    <row r="821" spans="1:34" x14ac:dyDescent="0.2">
      <c r="A821" s="347">
        <f t="shared" ca="1" si="354"/>
        <v>1E-4</v>
      </c>
      <c r="B821" s="304">
        <f t="shared" ca="1" si="355"/>
        <v>34.729000000001186</v>
      </c>
      <c r="D821" s="306">
        <f t="shared" ca="1" si="356"/>
        <v>-0.71656220475361931</v>
      </c>
      <c r="E821" s="307">
        <f t="shared" ca="1" si="357"/>
        <v>-2.0903080730823804</v>
      </c>
      <c r="F821" s="304">
        <f t="shared" ca="1" si="358"/>
        <v>2.2097170030740911</v>
      </c>
      <c r="G821" s="306">
        <f t="shared" ca="1" si="359"/>
        <v>11.28355731329283</v>
      </c>
      <c r="H821" s="307">
        <f t="shared" ca="1" si="360"/>
        <v>-121.5613782976624</v>
      </c>
      <c r="I821" s="304">
        <f t="shared" ca="1" si="361"/>
        <v>122.08393571338431</v>
      </c>
      <c r="J821" s="306">
        <f t="shared" ca="1" si="362"/>
        <v>786.02923903053897</v>
      </c>
      <c r="K821" s="307">
        <f t="shared" ca="1" si="363"/>
        <v>-11.908580369297665</v>
      </c>
      <c r="L821" s="304">
        <f t="shared" ca="1" si="348"/>
        <v>786.11944314928394</v>
      </c>
      <c r="M821" s="306">
        <f t="shared" ca="1" si="364"/>
        <v>-1.4782396450939943</v>
      </c>
      <c r="N821" s="304">
        <f t="shared" ca="1" si="365"/>
        <v>-84.696892772802556</v>
      </c>
      <c r="P821" s="310">
        <f t="shared" ca="1" si="366"/>
        <v>23</v>
      </c>
      <c r="Q821" s="304">
        <f t="shared" ca="1" si="367"/>
        <v>0</v>
      </c>
      <c r="R821" s="306">
        <f t="shared" ca="1" si="368"/>
        <v>0</v>
      </c>
      <c r="S821" s="307">
        <f t="shared" ca="1" si="369"/>
        <v>7.4799999999999969</v>
      </c>
      <c r="T821" s="304">
        <f t="shared" ca="1" si="349"/>
        <v>73.37879999999997</v>
      </c>
      <c r="U821" s="311">
        <f t="shared" ca="1" si="350"/>
        <v>0</v>
      </c>
      <c r="V821" s="306">
        <f t="shared" ca="1" si="351"/>
        <v>1.2264596702252486</v>
      </c>
      <c r="W821" s="304">
        <f t="shared" ca="1" si="352"/>
        <v>57.991783376493579</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2.0151322618994243</v>
      </c>
      <c r="AH821" s="304">
        <f t="shared" ca="1" si="376"/>
        <v>-7.7528771975182504</v>
      </c>
    </row>
    <row r="822" spans="1:34" x14ac:dyDescent="0.2">
      <c r="A822" s="347">
        <f t="shared" ca="1" si="354"/>
        <v>1E-4</v>
      </c>
      <c r="B822" s="304">
        <f t="shared" ca="1" si="355"/>
        <v>34.729100000001189</v>
      </c>
      <c r="D822" s="306">
        <f t="shared" ca="1" si="356"/>
        <v>-0.71655970807468583</v>
      </c>
      <c r="E822" s="307">
        <f t="shared" ca="1" si="357"/>
        <v>-2.0902726722083953</v>
      </c>
      <c r="F822" s="304">
        <f t="shared" ca="1" si="358"/>
        <v>2.2096827055976398</v>
      </c>
      <c r="G822" s="306">
        <f t="shared" ca="1" si="359"/>
        <v>11.283485657322023</v>
      </c>
      <c r="H822" s="307">
        <f t="shared" ca="1" si="360"/>
        <v>-121.56158732492962</v>
      </c>
      <c r="I822" s="304">
        <f t="shared" ca="1" si="361"/>
        <v>122.08413722320964</v>
      </c>
      <c r="J822" s="306">
        <f t="shared" ca="1" si="362"/>
        <v>786.02923903053897</v>
      </c>
      <c r="K822" s="307">
        <f t="shared" ca="1" si="363"/>
        <v>-11.920736517578794</v>
      </c>
      <c r="L822" s="304">
        <f t="shared" ca="1" si="348"/>
        <v>786.11962739143576</v>
      </c>
      <c r="M822" s="306">
        <f t="shared" ca="1" si="364"/>
        <v>-1.4782403877663979</v>
      </c>
      <c r="N822" s="304">
        <f t="shared" ca="1" si="365"/>
        <v>-84.696935324796854</v>
      </c>
      <c r="P822" s="310">
        <f t="shared" ca="1" si="366"/>
        <v>23</v>
      </c>
      <c r="Q822" s="304">
        <f t="shared" ca="1" si="367"/>
        <v>0</v>
      </c>
      <c r="R822" s="306">
        <f t="shared" ca="1" si="368"/>
        <v>0</v>
      </c>
      <c r="S822" s="307">
        <f t="shared" ca="1" si="369"/>
        <v>7.4799999999999969</v>
      </c>
      <c r="T822" s="304">
        <f t="shared" ca="1" si="349"/>
        <v>73.37879999999997</v>
      </c>
      <c r="U822" s="311">
        <f t="shared" ca="1" si="350"/>
        <v>0</v>
      </c>
      <c r="V822" s="306">
        <f t="shared" ca="1" si="351"/>
        <v>1.2264611611292451</v>
      </c>
      <c r="W822" s="304">
        <f t="shared" ca="1" si="352"/>
        <v>57.992045313276151</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2.0150979166881697</v>
      </c>
      <c r="AH822" s="304">
        <f t="shared" ca="1" si="376"/>
        <v>-7.7529122161087702</v>
      </c>
    </row>
    <row r="823" spans="1:34" x14ac:dyDescent="0.2">
      <c r="A823" s="347">
        <f t="shared" ca="1" si="354"/>
        <v>1E-4</v>
      </c>
      <c r="B823" s="304">
        <f t="shared" ca="1" si="355"/>
        <v>34.729200000001192</v>
      </c>
      <c r="D823" s="306">
        <f t="shared" ca="1" si="356"/>
        <v>-0.71655721137079764</v>
      </c>
      <c r="E823" s="307">
        <f t="shared" ca="1" si="357"/>
        <v>-2.0902372716417732</v>
      </c>
      <c r="F823" s="304">
        <f t="shared" ca="1" si="358"/>
        <v>2.2096484084414736</v>
      </c>
      <c r="G823" s="306">
        <f t="shared" ca="1" si="359"/>
        <v>11.283414001600887</v>
      </c>
      <c r="H823" s="307">
        <f t="shared" ca="1" si="360"/>
        <v>-121.56179634865678</v>
      </c>
      <c r="I823" s="304">
        <f t="shared" ca="1" si="361"/>
        <v>122.08433872960047</v>
      </c>
      <c r="J823" s="306">
        <f t="shared" ca="1" si="362"/>
        <v>786.02923903053897</v>
      </c>
      <c r="K823" s="307">
        <f t="shared" ca="1" si="363"/>
        <v>-11.932892686762473</v>
      </c>
      <c r="L823" s="304">
        <f t="shared" ca="1" si="348"/>
        <v>786.11981182183797</v>
      </c>
      <c r="M823" s="306">
        <f t="shared" ca="1" si="364"/>
        <v>-1.4782411304316339</v>
      </c>
      <c r="N823" s="304">
        <f t="shared" ca="1" si="365"/>
        <v>-84.696977876380458</v>
      </c>
      <c r="P823" s="310">
        <f t="shared" ca="1" si="366"/>
        <v>23</v>
      </c>
      <c r="Q823" s="304">
        <f t="shared" ca="1" si="367"/>
        <v>0</v>
      </c>
      <c r="R823" s="306">
        <f t="shared" ca="1" si="368"/>
        <v>0</v>
      </c>
      <c r="S823" s="307">
        <f t="shared" ca="1" si="369"/>
        <v>7.4799999999999969</v>
      </c>
      <c r="T823" s="304">
        <f t="shared" ca="1" si="349"/>
        <v>73.37879999999997</v>
      </c>
      <c r="U823" s="311">
        <f t="shared" ca="1" si="350"/>
        <v>0</v>
      </c>
      <c r="V823" s="306">
        <f t="shared" ca="1" si="351"/>
        <v>1.226462652037619</v>
      </c>
      <c r="W823" s="304">
        <f t="shared" ca="1" si="352"/>
        <v>57.992307247784233</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2.0150635717691108</v>
      </c>
      <c r="AH823" s="304">
        <f t="shared" ca="1" si="376"/>
        <v>-7.7529472343952106</v>
      </c>
    </row>
    <row r="824" spans="1:34" x14ac:dyDescent="0.2">
      <c r="A824" s="347">
        <f t="shared" ca="1" si="354"/>
        <v>1E-4</v>
      </c>
      <c r="B824" s="304">
        <f t="shared" ca="1" si="355"/>
        <v>34.729300000001196</v>
      </c>
      <c r="D824" s="306">
        <f t="shared" ca="1" si="356"/>
        <v>-0.71655471464195131</v>
      </c>
      <c r="E824" s="307">
        <f t="shared" ca="1" si="357"/>
        <v>-2.090201871382515</v>
      </c>
      <c r="F824" s="304">
        <f t="shared" ca="1" si="358"/>
        <v>2.2096141116055934</v>
      </c>
      <c r="G824" s="306">
        <f t="shared" ca="1" si="359"/>
        <v>11.283342346129423</v>
      </c>
      <c r="H824" s="307">
        <f t="shared" ca="1" si="360"/>
        <v>-121.56200536884393</v>
      </c>
      <c r="I824" s="304">
        <f t="shared" ca="1" si="361"/>
        <v>122.08454023255688</v>
      </c>
      <c r="J824" s="306">
        <f t="shared" ca="1" si="362"/>
        <v>786.02923903053897</v>
      </c>
      <c r="K824" s="307">
        <f t="shared" ca="1" si="363"/>
        <v>-11.945048876848348</v>
      </c>
      <c r="L824" s="304">
        <f t="shared" ca="1" si="348"/>
        <v>786.1199964404916</v>
      </c>
      <c r="M824" s="306">
        <f t="shared" ca="1" si="364"/>
        <v>-1.4782418730897016</v>
      </c>
      <c r="N824" s="304">
        <f t="shared" ca="1" si="365"/>
        <v>-84.697020427553369</v>
      </c>
      <c r="P824" s="310">
        <f t="shared" ca="1" si="366"/>
        <v>23</v>
      </c>
      <c r="Q824" s="304">
        <f t="shared" ca="1" si="367"/>
        <v>0</v>
      </c>
      <c r="R824" s="306">
        <f t="shared" ca="1" si="368"/>
        <v>0</v>
      </c>
      <c r="S824" s="307">
        <f t="shared" ca="1" si="369"/>
        <v>7.4799999999999969</v>
      </c>
      <c r="T824" s="304">
        <f t="shared" ca="1" si="349"/>
        <v>73.37879999999997</v>
      </c>
      <c r="U824" s="311">
        <f t="shared" ca="1" si="350"/>
        <v>0</v>
      </c>
      <c r="V824" s="306">
        <f t="shared" ca="1" si="351"/>
        <v>1.2264641429503693</v>
      </c>
      <c r="W824" s="304">
        <f t="shared" ca="1" si="352"/>
        <v>57.992569180017824</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2.0150292271422412</v>
      </c>
      <c r="AH824" s="304">
        <f t="shared" ca="1" si="376"/>
        <v>-7.7529822523775742</v>
      </c>
    </row>
    <row r="825" spans="1:34" x14ac:dyDescent="0.2">
      <c r="A825" s="347">
        <f t="shared" ca="1" si="354"/>
        <v>1E-4</v>
      </c>
      <c r="B825" s="304">
        <f t="shared" ca="1" si="355"/>
        <v>34.729400000001199</v>
      </c>
      <c r="D825" s="306">
        <f t="shared" ca="1" si="356"/>
        <v>-0.7165522178881536</v>
      </c>
      <c r="E825" s="307">
        <f t="shared" ca="1" si="357"/>
        <v>-2.0901664714306172</v>
      </c>
      <c r="F825" s="304">
        <f t="shared" ca="1" si="358"/>
        <v>2.2095798150899979</v>
      </c>
      <c r="G825" s="306">
        <f t="shared" ca="1" si="359"/>
        <v>11.283270690907635</v>
      </c>
      <c r="H825" s="307">
        <f t="shared" ca="1" si="360"/>
        <v>-121.56221438549107</v>
      </c>
      <c r="I825" s="304">
        <f t="shared" ca="1" si="361"/>
        <v>122.08474173207883</v>
      </c>
      <c r="J825" s="306">
        <f t="shared" ca="1" si="362"/>
        <v>786.02923903053897</v>
      </c>
      <c r="K825" s="307">
        <f t="shared" ca="1" si="363"/>
        <v>-11.957205087836066</v>
      </c>
      <c r="L825" s="304">
        <f t="shared" ca="1" si="348"/>
        <v>786.12018124739723</v>
      </c>
      <c r="M825" s="306">
        <f t="shared" ca="1" si="364"/>
        <v>-1.4782426157406019</v>
      </c>
      <c r="N825" s="304">
        <f t="shared" ca="1" si="365"/>
        <v>-84.6970629783156</v>
      </c>
      <c r="P825" s="310">
        <f t="shared" ca="1" si="366"/>
        <v>23</v>
      </c>
      <c r="Q825" s="304">
        <f t="shared" ca="1" si="367"/>
        <v>0</v>
      </c>
      <c r="R825" s="306">
        <f t="shared" ca="1" si="368"/>
        <v>0</v>
      </c>
      <c r="S825" s="307">
        <f t="shared" ca="1" si="369"/>
        <v>7.4799999999999969</v>
      </c>
      <c r="T825" s="304">
        <f t="shared" ca="1" si="349"/>
        <v>73.37879999999997</v>
      </c>
      <c r="U825" s="311">
        <f t="shared" ca="1" si="350"/>
        <v>0</v>
      </c>
      <c r="V825" s="306">
        <f t="shared" ca="1" si="351"/>
        <v>1.2264656338674971</v>
      </c>
      <c r="W825" s="304">
        <f t="shared" ca="1" si="352"/>
        <v>57.992831109976912</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2.0149948828075601</v>
      </c>
      <c r="AH825" s="304">
        <f t="shared" ca="1" si="376"/>
        <v>-7.7530172700558619</v>
      </c>
    </row>
    <row r="826" spans="1:34" x14ac:dyDescent="0.2">
      <c r="A826" s="347">
        <f t="shared" ca="1" si="354"/>
        <v>1E-4</v>
      </c>
      <c r="B826" s="304">
        <f t="shared" ca="1" si="355"/>
        <v>34.729500000001202</v>
      </c>
      <c r="D826" s="306">
        <f t="shared" ca="1" si="356"/>
        <v>-0.71654972110939874</v>
      </c>
      <c r="E826" s="307">
        <f t="shared" ca="1" si="357"/>
        <v>-2.0901310717860815</v>
      </c>
      <c r="F826" s="304">
        <f t="shared" ca="1" si="358"/>
        <v>2.2095455188946866</v>
      </c>
      <c r="G826" s="306">
        <f t="shared" ca="1" si="359"/>
        <v>11.283199035935525</v>
      </c>
      <c r="H826" s="307">
        <f t="shared" ca="1" si="360"/>
        <v>-121.56242339859826</v>
      </c>
      <c r="I826" s="304">
        <f t="shared" ca="1" si="361"/>
        <v>122.08494322816637</v>
      </c>
      <c r="J826" s="306">
        <f t="shared" ca="1" si="362"/>
        <v>786.02923903053897</v>
      </c>
      <c r="K826" s="307">
        <f t="shared" ca="1" si="363"/>
        <v>-11.96936131972527</v>
      </c>
      <c r="L826" s="304">
        <f t="shared" ca="1" si="348"/>
        <v>786.12036624255597</v>
      </c>
      <c r="M826" s="306">
        <f t="shared" ca="1" si="364"/>
        <v>-1.4782433583843344</v>
      </c>
      <c r="N826" s="304">
        <f t="shared" ca="1" si="365"/>
        <v>-84.697105528667151</v>
      </c>
      <c r="P826" s="310">
        <f t="shared" ca="1" si="366"/>
        <v>23</v>
      </c>
      <c r="Q826" s="304">
        <f t="shared" ca="1" si="367"/>
        <v>0</v>
      </c>
      <c r="R826" s="306">
        <f t="shared" ca="1" si="368"/>
        <v>0</v>
      </c>
      <c r="S826" s="307">
        <f t="shared" ca="1" si="369"/>
        <v>7.4799999999999969</v>
      </c>
      <c r="T826" s="304">
        <f t="shared" ca="1" si="349"/>
        <v>73.37879999999997</v>
      </c>
      <c r="U826" s="311">
        <f t="shared" ca="1" si="350"/>
        <v>0</v>
      </c>
      <c r="V826" s="306">
        <f t="shared" ca="1" si="351"/>
        <v>1.2264671247890018</v>
      </c>
      <c r="W826" s="304">
        <f t="shared" ca="1" si="352"/>
        <v>57.993093037661495</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2.0149605387650729</v>
      </c>
      <c r="AH826" s="304">
        <f t="shared" ca="1" si="376"/>
        <v>-7.753052287430072</v>
      </c>
    </row>
    <row r="827" spans="1:34" x14ac:dyDescent="0.2">
      <c r="A827" s="347">
        <f t="shared" ca="1" si="354"/>
        <v>1E-4</v>
      </c>
      <c r="B827" s="304">
        <f t="shared" ca="1" si="355"/>
        <v>34.729600000001206</v>
      </c>
      <c r="D827" s="306">
        <f t="shared" ca="1" si="356"/>
        <v>-0.71654722430569173</v>
      </c>
      <c r="E827" s="307">
        <f t="shared" ca="1" si="357"/>
        <v>-2.0900956724489106</v>
      </c>
      <c r="F827" s="304">
        <f t="shared" ca="1" si="358"/>
        <v>2.209511223019665</v>
      </c>
      <c r="G827" s="306">
        <f t="shared" ca="1" si="359"/>
        <v>11.283127381213093</v>
      </c>
      <c r="H827" s="307">
        <f t="shared" ca="1" si="360"/>
        <v>-121.5626324081655</v>
      </c>
      <c r="I827" s="304">
        <f t="shared" ca="1" si="361"/>
        <v>122.08514472081953</v>
      </c>
      <c r="J827" s="306">
        <f t="shared" ca="1" si="362"/>
        <v>786.02923903053897</v>
      </c>
      <c r="K827" s="307">
        <f t="shared" ca="1" si="363"/>
        <v>-11.981517572515608</v>
      </c>
      <c r="L827" s="304">
        <f t="shared" ca="1" si="348"/>
        <v>786.12055142596842</v>
      </c>
      <c r="M827" s="306">
        <f t="shared" ca="1" si="364"/>
        <v>-1.4782441010208993</v>
      </c>
      <c r="N827" s="304">
        <f t="shared" ca="1" si="365"/>
        <v>-84.697148078608038</v>
      </c>
      <c r="P827" s="310">
        <f t="shared" ca="1" si="366"/>
        <v>23</v>
      </c>
      <c r="Q827" s="304">
        <f t="shared" ca="1" si="367"/>
        <v>0</v>
      </c>
      <c r="R827" s="306">
        <f t="shared" ca="1" si="368"/>
        <v>0</v>
      </c>
      <c r="S827" s="307">
        <f t="shared" ca="1" si="369"/>
        <v>7.4799999999999969</v>
      </c>
      <c r="T827" s="304">
        <f t="shared" ca="1" si="349"/>
        <v>73.37879999999997</v>
      </c>
      <c r="U827" s="311">
        <f t="shared" ca="1" si="350"/>
        <v>0</v>
      </c>
      <c r="V827" s="306">
        <f t="shared" ca="1" si="351"/>
        <v>1.226468615714883</v>
      </c>
      <c r="W827" s="304">
        <f t="shared" ca="1" si="352"/>
        <v>57.99335496307156</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2.0149261950147768</v>
      </c>
      <c r="AH827" s="304">
        <f t="shared" ca="1" si="376"/>
        <v>-7.7530873045002036</v>
      </c>
    </row>
    <row r="828" spans="1:34" x14ac:dyDescent="0.2">
      <c r="A828" s="347">
        <f t="shared" ca="1" si="354"/>
        <v>1E-4</v>
      </c>
      <c r="B828" s="304">
        <f t="shared" ca="1" si="355"/>
        <v>34.729700000001209</v>
      </c>
      <c r="D828" s="306">
        <f t="shared" ca="1" si="356"/>
        <v>-0.71654472747703191</v>
      </c>
      <c r="E828" s="307">
        <f t="shared" ca="1" si="357"/>
        <v>-2.0900602734191054</v>
      </c>
      <c r="F828" s="304">
        <f t="shared" ca="1" si="358"/>
        <v>2.2094769274649324</v>
      </c>
      <c r="G828" s="306">
        <f t="shared" ca="1" si="359"/>
        <v>11.283055726740345</v>
      </c>
      <c r="H828" s="307">
        <f t="shared" ca="1" si="360"/>
        <v>-121.56284141419285</v>
      </c>
      <c r="I828" s="304">
        <f t="shared" ca="1" si="361"/>
        <v>122.08534621003837</v>
      </c>
      <c r="J828" s="306">
        <f t="shared" ca="1" si="362"/>
        <v>786.02923903053897</v>
      </c>
      <c r="K828" s="307">
        <f t="shared" ca="1" si="363"/>
        <v>-11.993673846206727</v>
      </c>
      <c r="L828" s="304">
        <f t="shared" ca="1" si="348"/>
        <v>786.12073679763557</v>
      </c>
      <c r="M828" s="306">
        <f t="shared" ca="1" si="364"/>
        <v>-1.4782448436502966</v>
      </c>
      <c r="N828" s="304">
        <f t="shared" ca="1" si="365"/>
        <v>-84.697190628138245</v>
      </c>
      <c r="P828" s="310">
        <f t="shared" ca="1" si="366"/>
        <v>23</v>
      </c>
      <c r="Q828" s="304">
        <f t="shared" ca="1" si="367"/>
        <v>0</v>
      </c>
      <c r="R828" s="306">
        <f t="shared" ca="1" si="368"/>
        <v>0</v>
      </c>
      <c r="S828" s="307">
        <f t="shared" ca="1" si="369"/>
        <v>7.4799999999999969</v>
      </c>
      <c r="T828" s="304">
        <f t="shared" ca="1" si="349"/>
        <v>73.37879999999997</v>
      </c>
      <c r="U828" s="311">
        <f t="shared" ca="1" si="350"/>
        <v>0</v>
      </c>
      <c r="V828" s="306">
        <f t="shared" ca="1" si="351"/>
        <v>1.2264701066451413</v>
      </c>
      <c r="W828" s="304">
        <f t="shared" ca="1" si="352"/>
        <v>57.993616886207171</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2.0148918515566736</v>
      </c>
      <c r="AH828" s="304">
        <f t="shared" ca="1" si="376"/>
        <v>-7.7531223212662548</v>
      </c>
    </row>
    <row r="829" spans="1:34" x14ac:dyDescent="0.2">
      <c r="A829" s="347">
        <f t="shared" ca="1" si="354"/>
        <v>1E-4</v>
      </c>
      <c r="B829" s="304">
        <f t="shared" ca="1" si="355"/>
        <v>34.729800000001212</v>
      </c>
      <c r="D829" s="306">
        <f t="shared" ca="1" si="356"/>
        <v>-0.71654223062342171</v>
      </c>
      <c r="E829" s="307">
        <f t="shared" ca="1" si="357"/>
        <v>-2.090024874696657</v>
      </c>
      <c r="F829" s="304">
        <f t="shared" ca="1" si="358"/>
        <v>2.2094426322304832</v>
      </c>
      <c r="G829" s="306">
        <f t="shared" ca="1" si="359"/>
        <v>11.282984072517284</v>
      </c>
      <c r="H829" s="307">
        <f t="shared" ca="1" si="360"/>
        <v>-121.56305041668031</v>
      </c>
      <c r="I829" s="304">
        <f t="shared" ca="1" si="361"/>
        <v>122.08554769582287</v>
      </c>
      <c r="J829" s="306">
        <f t="shared" ca="1" si="362"/>
        <v>786.02923903053897</v>
      </c>
      <c r="K829" s="307">
        <f t="shared" ca="1" si="363"/>
        <v>-12.00583014079827</v>
      </c>
      <c r="L829" s="304">
        <f t="shared" ca="1" si="348"/>
        <v>786.12092235755813</v>
      </c>
      <c r="M829" s="306">
        <f t="shared" ca="1" si="364"/>
        <v>-1.4782455862725268</v>
      </c>
      <c r="N829" s="304">
        <f t="shared" ca="1" si="365"/>
        <v>-84.6972331772578</v>
      </c>
      <c r="P829" s="310">
        <f t="shared" ca="1" si="366"/>
        <v>23</v>
      </c>
      <c r="Q829" s="304">
        <f t="shared" ca="1" si="367"/>
        <v>0</v>
      </c>
      <c r="R829" s="306">
        <f t="shared" ca="1" si="368"/>
        <v>0</v>
      </c>
      <c r="S829" s="307">
        <f t="shared" ca="1" si="369"/>
        <v>7.4799999999999969</v>
      </c>
      <c r="T829" s="304">
        <f t="shared" ca="1" si="349"/>
        <v>73.37879999999997</v>
      </c>
      <c r="U829" s="311">
        <f t="shared" ca="1" si="350"/>
        <v>0</v>
      </c>
      <c r="V829" s="306">
        <f t="shared" ca="1" si="351"/>
        <v>1.2264715975797769</v>
      </c>
      <c r="W829" s="304">
        <f t="shared" ca="1" si="352"/>
        <v>57.993878807068278</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2.0148575083907581</v>
      </c>
      <c r="AH829" s="304">
        <f t="shared" ca="1" si="376"/>
        <v>-7.7531573377282346</v>
      </c>
    </row>
    <row r="830" spans="1:34" x14ac:dyDescent="0.2">
      <c r="A830" s="347">
        <f t="shared" ca="1" si="354"/>
        <v>1E-4</v>
      </c>
      <c r="B830" s="304">
        <f t="shared" ca="1" si="355"/>
        <v>34.729900000001216</v>
      </c>
      <c r="D830" s="306">
        <f t="shared" ca="1" si="356"/>
        <v>-0.71653973374485835</v>
      </c>
      <c r="E830" s="307">
        <f t="shared" ca="1" si="357"/>
        <v>-2.0899894762815707</v>
      </c>
      <c r="F830" s="304">
        <f t="shared" ca="1" si="358"/>
        <v>2.20940833731632</v>
      </c>
      <c r="G830" s="306">
        <f t="shared" ca="1" si="359"/>
        <v>11.282912418543908</v>
      </c>
      <c r="H830" s="307">
        <f t="shared" ca="1" si="360"/>
        <v>-121.56325941562794</v>
      </c>
      <c r="I830" s="304">
        <f t="shared" ca="1" si="361"/>
        <v>122.08574917817307</v>
      </c>
      <c r="J830" s="306">
        <f t="shared" ca="1" si="362"/>
        <v>786.02923903053897</v>
      </c>
      <c r="K830" s="307">
        <f t="shared" ca="1" si="363"/>
        <v>-12.017986456289886</v>
      </c>
      <c r="L830" s="304">
        <f t="shared" ca="1" si="348"/>
        <v>786.12110810573699</v>
      </c>
      <c r="M830" s="306">
        <f t="shared" ca="1" si="364"/>
        <v>-1.4782463288875898</v>
      </c>
      <c r="N830" s="304">
        <f t="shared" ca="1" si="365"/>
        <v>-84.697275725966719</v>
      </c>
      <c r="P830" s="310">
        <f t="shared" ca="1" si="366"/>
        <v>23</v>
      </c>
      <c r="Q830" s="304">
        <f t="shared" ca="1" si="367"/>
        <v>0</v>
      </c>
      <c r="R830" s="306">
        <f t="shared" ca="1" si="368"/>
        <v>0</v>
      </c>
      <c r="S830" s="307">
        <f t="shared" ca="1" si="369"/>
        <v>7.4799999999999969</v>
      </c>
      <c r="T830" s="304">
        <f t="shared" ca="1" si="349"/>
        <v>73.37879999999997</v>
      </c>
      <c r="U830" s="311">
        <f t="shared" ca="1" si="350"/>
        <v>0</v>
      </c>
      <c r="V830" s="306">
        <f t="shared" ca="1" si="351"/>
        <v>1.2264730885187889</v>
      </c>
      <c r="W830" s="304">
        <f t="shared" ca="1" si="352"/>
        <v>57.994140725654866</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2.0148231655170363</v>
      </c>
      <c r="AH830" s="304">
        <f t="shared" ca="1" si="376"/>
        <v>-7.7531923538861367</v>
      </c>
    </row>
    <row r="831" spans="1:34" x14ac:dyDescent="0.2">
      <c r="A831" s="347">
        <f t="shared" ca="1" si="354"/>
        <v>1E-4</v>
      </c>
      <c r="B831" s="304">
        <f t="shared" ca="1" si="355"/>
        <v>34.730000000001219</v>
      </c>
      <c r="D831" s="306">
        <f t="shared" ca="1" si="356"/>
        <v>-0.71653723684134329</v>
      </c>
      <c r="E831" s="307">
        <f t="shared" ca="1" si="357"/>
        <v>-2.0899540781738501</v>
      </c>
      <c r="F831" s="304">
        <f t="shared" ca="1" si="358"/>
        <v>2.2093740427224482</v>
      </c>
      <c r="G831" s="306">
        <f t="shared" ca="1" si="359"/>
        <v>11.282840764820225</v>
      </c>
      <c r="H831" s="307">
        <f t="shared" ca="1" si="360"/>
        <v>-121.56346841103576</v>
      </c>
      <c r="I831" s="304">
        <f t="shared" ca="1" si="361"/>
        <v>122.08595065708903</v>
      </c>
      <c r="J831" s="306">
        <f t="shared" ca="1" si="362"/>
        <v>786.02923903053897</v>
      </c>
      <c r="K831" s="307">
        <f t="shared" ca="1" si="363"/>
        <v>-12.03014279268122</v>
      </c>
      <c r="L831" s="304">
        <f t="shared" ca="1" si="348"/>
        <v>786.12129404217285</v>
      </c>
      <c r="M831" s="306">
        <f t="shared" ca="1" si="364"/>
        <v>-1.4782470714954854</v>
      </c>
      <c r="N831" s="304">
        <f t="shared" ca="1" si="365"/>
        <v>-84.697318274264973</v>
      </c>
      <c r="P831" s="310">
        <f t="shared" ca="1" si="366"/>
        <v>23</v>
      </c>
      <c r="Q831" s="304">
        <f t="shared" ca="1" si="367"/>
        <v>0</v>
      </c>
      <c r="R831" s="306">
        <f t="shared" ca="1" si="368"/>
        <v>0</v>
      </c>
      <c r="S831" s="307">
        <f t="shared" ca="1" si="369"/>
        <v>7.4799999999999969</v>
      </c>
      <c r="T831" s="304">
        <f t="shared" ca="1" si="349"/>
        <v>73.37879999999997</v>
      </c>
      <c r="U831" s="311">
        <f t="shared" ca="1" si="350"/>
        <v>0</v>
      </c>
      <c r="V831" s="306">
        <f t="shared" ca="1" si="351"/>
        <v>1.2264745794621783</v>
      </c>
      <c r="W831" s="304">
        <f t="shared" ca="1" si="352"/>
        <v>57.994402641967007</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2.0147888229355075</v>
      </c>
      <c r="AH831" s="304">
        <f t="shared" ca="1" si="376"/>
        <v>-7.7532273697399585</v>
      </c>
    </row>
    <row r="832" spans="1:34" x14ac:dyDescent="0.2">
      <c r="A832" s="347">
        <f t="shared" ca="1" si="354"/>
        <v>1E-4</v>
      </c>
      <c r="B832" s="304">
        <f t="shared" ca="1" si="355"/>
        <v>34.730100000001222</v>
      </c>
      <c r="D832" s="306">
        <f t="shared" ca="1" si="356"/>
        <v>-0.71653473991288041</v>
      </c>
      <c r="E832" s="307">
        <f t="shared" ca="1" si="357"/>
        <v>-2.0899186803734864</v>
      </c>
      <c r="F832" s="304">
        <f t="shared" ca="1" si="358"/>
        <v>2.2093397484488606</v>
      </c>
      <c r="G832" s="306">
        <f t="shared" ca="1" si="359"/>
        <v>11.282769111346234</v>
      </c>
      <c r="H832" s="307">
        <f t="shared" ca="1" si="360"/>
        <v>-121.56367740290379</v>
      </c>
      <c r="I832" s="304">
        <f t="shared" ca="1" si="361"/>
        <v>122.08615213257076</v>
      </c>
      <c r="J832" s="306">
        <f t="shared" ca="1" si="362"/>
        <v>786.02923903053897</v>
      </c>
      <c r="K832" s="307">
        <f t="shared" ca="1" si="363"/>
        <v>-12.042299149971917</v>
      </c>
      <c r="L832" s="304">
        <f t="shared" ca="1" si="348"/>
        <v>786.12148016686683</v>
      </c>
      <c r="M832" s="306">
        <f t="shared" ca="1" si="364"/>
        <v>-1.4782478140962141</v>
      </c>
      <c r="N832" s="304">
        <f t="shared" ca="1" si="365"/>
        <v>-84.697360822152589</v>
      </c>
      <c r="P832" s="310">
        <f t="shared" ca="1" si="366"/>
        <v>23</v>
      </c>
      <c r="Q832" s="304">
        <f t="shared" ca="1" si="367"/>
        <v>0</v>
      </c>
      <c r="R832" s="306">
        <f t="shared" ca="1" si="368"/>
        <v>0</v>
      </c>
      <c r="S832" s="307">
        <f t="shared" ca="1" si="369"/>
        <v>7.4799999999999969</v>
      </c>
      <c r="T832" s="304">
        <f t="shared" ca="1" si="349"/>
        <v>73.37879999999997</v>
      </c>
      <c r="U832" s="311">
        <f t="shared" ca="1" si="350"/>
        <v>0</v>
      </c>
      <c r="V832" s="306">
        <f t="shared" ca="1" si="351"/>
        <v>1.226476070409944</v>
      </c>
      <c r="W832" s="304">
        <f t="shared" ca="1" si="352"/>
        <v>57.994664556004629</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2.0147544806461672</v>
      </c>
      <c r="AH832" s="304">
        <f t="shared" ca="1" si="376"/>
        <v>-7.7532623852897098</v>
      </c>
    </row>
    <row r="833" spans="1:34" x14ac:dyDescent="0.2">
      <c r="A833" s="347">
        <f t="shared" ca="1" si="354"/>
        <v>1E-4</v>
      </c>
      <c r="B833" s="304">
        <f t="shared" ca="1" si="355"/>
        <v>34.730200000001226</v>
      </c>
      <c r="D833" s="306">
        <f t="shared" ca="1" si="356"/>
        <v>-0.71653224295946694</v>
      </c>
      <c r="E833" s="307">
        <f t="shared" ca="1" si="357"/>
        <v>-2.0898832828804865</v>
      </c>
      <c r="F833" s="304">
        <f t="shared" ca="1" si="358"/>
        <v>2.2093054544955626</v>
      </c>
      <c r="G833" s="306">
        <f t="shared" ca="1" si="359"/>
        <v>11.282697458121937</v>
      </c>
      <c r="H833" s="307">
        <f t="shared" ca="1" si="360"/>
        <v>-121.56388639123207</v>
      </c>
      <c r="I833" s="304">
        <f t="shared" ca="1" si="361"/>
        <v>122.08635360461828</v>
      </c>
      <c r="J833" s="306">
        <f t="shared" ca="1" si="362"/>
        <v>786.02923903053897</v>
      </c>
      <c r="K833" s="307">
        <f t="shared" ca="1" si="363"/>
        <v>-12.054455528161624</v>
      </c>
      <c r="L833" s="304">
        <f t="shared" ca="1" si="348"/>
        <v>786.12166647981951</v>
      </c>
      <c r="M833" s="306">
        <f t="shared" ca="1" si="364"/>
        <v>-1.4782485566897758</v>
      </c>
      <c r="N833" s="304">
        <f t="shared" ca="1" si="365"/>
        <v>-84.697403369629569</v>
      </c>
      <c r="P833" s="310">
        <f t="shared" ca="1" si="366"/>
        <v>23</v>
      </c>
      <c r="Q833" s="304">
        <f t="shared" ca="1" si="367"/>
        <v>0</v>
      </c>
      <c r="R833" s="306">
        <f t="shared" ca="1" si="368"/>
        <v>0</v>
      </c>
      <c r="S833" s="307">
        <f t="shared" ca="1" si="369"/>
        <v>7.4799999999999969</v>
      </c>
      <c r="T833" s="304">
        <f t="shared" ca="1" si="349"/>
        <v>73.37879999999997</v>
      </c>
      <c r="U833" s="311">
        <f t="shared" ca="1" si="350"/>
        <v>0</v>
      </c>
      <c r="V833" s="306">
        <f t="shared" ca="1" si="351"/>
        <v>1.2264775613620866</v>
      </c>
      <c r="W833" s="304">
        <f t="shared" ca="1" si="352"/>
        <v>57.994926467767769</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2.014720138649019</v>
      </c>
      <c r="AH833" s="304">
        <f t="shared" ca="1" si="376"/>
        <v>-7.7532974005353816</v>
      </c>
    </row>
    <row r="834" spans="1:34" x14ac:dyDescent="0.2">
      <c r="A834" s="347">
        <f t="shared" ca="1" si="354"/>
        <v>1E-4</v>
      </c>
      <c r="B834" s="304">
        <f t="shared" ca="1" si="355"/>
        <v>34.730300000001229</v>
      </c>
      <c r="D834" s="306">
        <f t="shared" ca="1" si="356"/>
        <v>-0.71652974598110453</v>
      </c>
      <c r="E834" s="307">
        <f t="shared" ca="1" si="357"/>
        <v>-2.0898478856948479</v>
      </c>
      <c r="F834" s="304">
        <f t="shared" ca="1" si="358"/>
        <v>2.2092711608625528</v>
      </c>
      <c r="G834" s="306">
        <f t="shared" ca="1" si="359"/>
        <v>11.282625805147338</v>
      </c>
      <c r="H834" s="307">
        <f t="shared" ca="1" si="360"/>
        <v>-121.56409537602065</v>
      </c>
      <c r="I834" s="304">
        <f t="shared" ca="1" si="361"/>
        <v>122.08655507323162</v>
      </c>
      <c r="J834" s="306">
        <f t="shared" ca="1" si="362"/>
        <v>786.02923903053897</v>
      </c>
      <c r="K834" s="307">
        <f t="shared" ca="1" si="363"/>
        <v>-12.066611927249987</v>
      </c>
      <c r="L834" s="304">
        <f t="shared" ca="1" si="348"/>
        <v>786.12185298103179</v>
      </c>
      <c r="M834" s="306">
        <f t="shared" ca="1" si="364"/>
        <v>-1.4782492992761707</v>
      </c>
      <c r="N834" s="304">
        <f t="shared" ca="1" si="365"/>
        <v>-84.697445916695912</v>
      </c>
      <c r="P834" s="310">
        <f t="shared" ca="1" si="366"/>
        <v>23</v>
      </c>
      <c r="Q834" s="304">
        <f t="shared" ca="1" si="367"/>
        <v>0</v>
      </c>
      <c r="R834" s="306">
        <f t="shared" ca="1" si="368"/>
        <v>0</v>
      </c>
      <c r="S834" s="307">
        <f t="shared" ca="1" si="369"/>
        <v>7.4799999999999969</v>
      </c>
      <c r="T834" s="304">
        <f t="shared" ca="1" si="349"/>
        <v>73.37879999999997</v>
      </c>
      <c r="U834" s="311">
        <f t="shared" ca="1" si="350"/>
        <v>0</v>
      </c>
      <c r="V834" s="306">
        <f t="shared" ca="1" si="351"/>
        <v>1.2264790523186058</v>
      </c>
      <c r="W834" s="304">
        <f t="shared" ca="1" si="352"/>
        <v>57.995188377256405</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2.0146857969440646</v>
      </c>
      <c r="AH834" s="304">
        <f t="shared" ca="1" si="376"/>
        <v>-7.7533324154769776</v>
      </c>
    </row>
    <row r="835" spans="1:34" x14ac:dyDescent="0.2">
      <c r="A835" s="347">
        <f t="shared" ca="1" si="354"/>
        <v>1E-4</v>
      </c>
      <c r="B835" s="304">
        <f t="shared" ca="1" si="355"/>
        <v>34.730400000001232</v>
      </c>
      <c r="D835" s="306">
        <f t="shared" ca="1" si="356"/>
        <v>-0.71652724897779474</v>
      </c>
      <c r="E835" s="307">
        <f t="shared" ca="1" si="357"/>
        <v>-2.0898124888165723</v>
      </c>
      <c r="F835" s="304">
        <f t="shared" ca="1" si="358"/>
        <v>2.2092368675498339</v>
      </c>
      <c r="G835" s="306">
        <f t="shared" ca="1" si="359"/>
        <v>11.28255415242244</v>
      </c>
      <c r="H835" s="307">
        <f t="shared" ca="1" si="360"/>
        <v>-121.56430435726952</v>
      </c>
      <c r="I835" s="304">
        <f t="shared" ca="1" si="361"/>
        <v>122.08675653841084</v>
      </c>
      <c r="J835" s="306">
        <f t="shared" ca="1" si="362"/>
        <v>786.02923903053897</v>
      </c>
      <c r="K835" s="307">
        <f t="shared" ca="1" si="363"/>
        <v>-12.078768347236652</v>
      </c>
      <c r="L835" s="304">
        <f t="shared" ca="1" si="348"/>
        <v>786.12203967050459</v>
      </c>
      <c r="M835" s="306">
        <f t="shared" ca="1" si="364"/>
        <v>-1.4782500418553988</v>
      </c>
      <c r="N835" s="304">
        <f t="shared" ca="1" si="365"/>
        <v>-84.697488463351647</v>
      </c>
      <c r="P835" s="310">
        <f t="shared" ca="1" si="366"/>
        <v>23</v>
      </c>
      <c r="Q835" s="304">
        <f t="shared" ca="1" si="367"/>
        <v>0</v>
      </c>
      <c r="R835" s="306">
        <f t="shared" ca="1" si="368"/>
        <v>0</v>
      </c>
      <c r="S835" s="307">
        <f t="shared" ca="1" si="369"/>
        <v>7.4799999999999969</v>
      </c>
      <c r="T835" s="304">
        <f t="shared" ca="1" si="349"/>
        <v>73.37879999999997</v>
      </c>
      <c r="U835" s="311">
        <f t="shared" ca="1" si="350"/>
        <v>0</v>
      </c>
      <c r="V835" s="306">
        <f t="shared" ca="1" si="351"/>
        <v>1.2264805432795016</v>
      </c>
      <c r="W835" s="304">
        <f t="shared" ca="1" si="352"/>
        <v>57.995450284470586</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2.0146514555313022</v>
      </c>
      <c r="AH835" s="304">
        <f t="shared" ca="1" si="376"/>
        <v>-7.7533674301144959</v>
      </c>
    </row>
    <row r="836" spans="1:34" x14ac:dyDescent="0.2">
      <c r="A836" s="347">
        <f t="shared" ca="1" si="354"/>
        <v>1E-4</v>
      </c>
      <c r="B836" s="304">
        <f t="shared" ca="1" si="355"/>
        <v>34.730500000001236</v>
      </c>
      <c r="D836" s="306">
        <f t="shared" ca="1" si="356"/>
        <v>-0.71652475194953746</v>
      </c>
      <c r="E836" s="307">
        <f t="shared" ca="1" si="357"/>
        <v>-2.0897770922456536</v>
      </c>
      <c r="F836" s="304">
        <f t="shared" ca="1" si="358"/>
        <v>2.2092025745574002</v>
      </c>
      <c r="G836" s="306">
        <f t="shared" ca="1" si="359"/>
        <v>11.282482499947244</v>
      </c>
      <c r="H836" s="307">
        <f t="shared" ca="1" si="360"/>
        <v>-121.56451333497874</v>
      </c>
      <c r="I836" s="304">
        <f t="shared" ca="1" si="361"/>
        <v>122.08695800015595</v>
      </c>
      <c r="J836" s="306">
        <f t="shared" ca="1" si="362"/>
        <v>786.02923903053897</v>
      </c>
      <c r="K836" s="307">
        <f t="shared" ca="1" si="363"/>
        <v>-12.090924788121264</v>
      </c>
      <c r="L836" s="304">
        <f t="shared" ref="L836:L899" ca="1" si="377">SQRT(pos_x^2+pos_z^2)</f>
        <v>786.12222654823859</v>
      </c>
      <c r="M836" s="306">
        <f t="shared" ca="1" si="364"/>
        <v>-1.4782507844274602</v>
      </c>
      <c r="N836" s="304">
        <f t="shared" ca="1" si="365"/>
        <v>-84.697531009596744</v>
      </c>
      <c r="P836" s="310">
        <f t="shared" ca="1" si="366"/>
        <v>23</v>
      </c>
      <c r="Q836" s="304">
        <f t="shared" ca="1" si="367"/>
        <v>0</v>
      </c>
      <c r="R836" s="306">
        <f t="shared" ca="1" si="368"/>
        <v>0</v>
      </c>
      <c r="S836" s="307">
        <f t="shared" ca="1" si="369"/>
        <v>7.4799999999999969</v>
      </c>
      <c r="T836" s="304">
        <f t="shared" ref="T836:T899" ca="1" si="378">m*g</f>
        <v>73.37879999999997</v>
      </c>
      <c r="U836" s="311">
        <f t="shared" ref="U836:U899" ca="1" si="379">IF(pos_xz&lt;L_rampe,Poids*COS(Beta),0)</f>
        <v>0</v>
      </c>
      <c r="V836" s="306">
        <f t="shared" ref="V836:V899" ca="1" si="380">Rho_moyen*(20000-Alt_rampe-pos_z)/(20000+Alt_rampe+pos_z)</f>
        <v>1.2264820342447742</v>
      </c>
      <c r="W836" s="304">
        <f t="shared" ref="W836:W899" ca="1" si="381">1/2*Rho*Sref*Cx*vit_xz^2</f>
        <v>57.99571218941027</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2.0146171144107292</v>
      </c>
      <c r="AH836" s="304">
        <f t="shared" ca="1" si="376"/>
        <v>-7.7534024444479428</v>
      </c>
    </row>
    <row r="837" spans="1:34" x14ac:dyDescent="0.2">
      <c r="A837" s="347">
        <f t="shared" ref="A837:A900" ca="1" si="383">IF(B836+0.01&lt;=T_ini+ROUNDUP(Temps_fin_propu,0), 0.01, IF(K836&gt;0, 0.1, 0.0001))</f>
        <v>1E-4</v>
      </c>
      <c r="B837" s="304">
        <f t="shared" ref="B837:B900" ca="1" si="384">B836+pas</f>
        <v>34.730600000001239</v>
      </c>
      <c r="D837" s="306">
        <f t="shared" ref="D837:D900" ca="1" si="385">IF(AND(L836&lt;L_rampe,Poussee&lt;Poids*SIN(M836)),0,(-W836+Poussee)/m*COS(M836)-U836/m*SIN(M836))</f>
        <v>-0.71652225489633381</v>
      </c>
      <c r="E837" s="307">
        <f t="shared" ref="E837:E900" ca="1" si="386">IF(AND(L836&lt;L_rampe,Poussee&lt;Poids*SIN(M836)),0,(-W836+Poussee)/m*SIN(M836)+U836/m*COS(M836)-Poids/m)</f>
        <v>-2.0897416959820969</v>
      </c>
      <c r="F837" s="304">
        <f t="shared" ref="F837:F900" ca="1" si="387">SQRT(acc_x^2+acc_z^2)</f>
        <v>2.2091682818852565</v>
      </c>
      <c r="G837" s="306">
        <f t="shared" ref="G837:G900" ca="1" si="388">G836+acc_x*pas</f>
        <v>11.282410847721755</v>
      </c>
      <c r="H837" s="307">
        <f t="shared" ref="H837:H900" ca="1" si="389">H836+acc_z*pas</f>
        <v>-121.56472230914834</v>
      </c>
      <c r="I837" s="304">
        <f t="shared" ref="I837:I900" ca="1" si="390">SQRT(vit_x^2+vit_z^2)</f>
        <v>122.08715945846696</v>
      </c>
      <c r="J837" s="306">
        <f t="shared" ref="J837:J900" ca="1" si="391">J836+0.5*(vit_x+G836)*pas*(K836&gt;=0)</f>
        <v>786.02923903053897</v>
      </c>
      <c r="K837" s="307">
        <f t="shared" ref="K837:K900" ca="1" si="392">K836+0.5*(vit_z+H836)*pas</f>
        <v>-12.10308124990347</v>
      </c>
      <c r="L837" s="304">
        <f t="shared" ca="1" si="377"/>
        <v>786.1224136142348</v>
      </c>
      <c r="M837" s="306">
        <f t="shared" ref="M837:M900" ca="1" si="393">IF(AND(L836&gt;L_rampe,G837&gt;0),ATAN2(G837,H837),$M$4)</f>
        <v>-1.4782515269923551</v>
      </c>
      <c r="N837" s="304">
        <f t="shared" ref="N837:N900" ca="1" si="394">DEGREES(Beta)</f>
        <v>-84.697573555431234</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7.4799999999999969</v>
      </c>
      <c r="T837" s="304">
        <f t="shared" ca="1" si="378"/>
        <v>73.37879999999997</v>
      </c>
      <c r="U837" s="311">
        <f t="shared" ca="1" si="379"/>
        <v>0</v>
      </c>
      <c r="V837" s="306">
        <f t="shared" ca="1" si="380"/>
        <v>1.2264835252144237</v>
      </c>
      <c r="W837" s="304">
        <f t="shared" ca="1" si="381"/>
        <v>57.995974092075492</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2.0145827735823501</v>
      </c>
      <c r="AH837" s="304">
        <f t="shared" ref="AH837:AH900" ca="1" si="405">IF(AND(L836&lt;L_rampe,Poussee&lt;Poids*SIN(M836)), g*SIN(M836), (-W836+Poussee)/m)</f>
        <v>-7.753437458477312</v>
      </c>
    </row>
    <row r="838" spans="1:34" x14ac:dyDescent="0.2">
      <c r="A838" s="347">
        <f t="shared" ca="1" si="383"/>
        <v>1E-4</v>
      </c>
      <c r="B838" s="304">
        <f t="shared" ca="1" si="384"/>
        <v>34.730700000001242</v>
      </c>
      <c r="D838" s="306">
        <f t="shared" ca="1" si="385"/>
        <v>-0.716519757818184</v>
      </c>
      <c r="E838" s="307">
        <f t="shared" ca="1" si="386"/>
        <v>-2.089706300025898</v>
      </c>
      <c r="F838" s="304">
        <f t="shared" ca="1" si="387"/>
        <v>2.2091339895334001</v>
      </c>
      <c r="G838" s="306">
        <f t="shared" ca="1" si="388"/>
        <v>11.282339195745973</v>
      </c>
      <c r="H838" s="307">
        <f t="shared" ca="1" si="389"/>
        <v>-121.56493127977834</v>
      </c>
      <c r="I838" s="304">
        <f t="shared" ca="1" si="390"/>
        <v>122.08736091334391</v>
      </c>
      <c r="J838" s="306">
        <f t="shared" ca="1" si="391"/>
        <v>786.02923903053897</v>
      </c>
      <c r="K838" s="307">
        <f t="shared" ca="1" si="392"/>
        <v>-12.115237732582916</v>
      </c>
      <c r="L838" s="304">
        <f t="shared" ca="1" si="377"/>
        <v>786.12260086849381</v>
      </c>
      <c r="M838" s="306">
        <f t="shared" ca="1" si="393"/>
        <v>-1.4782522695500835</v>
      </c>
      <c r="N838" s="304">
        <f t="shared" ca="1" si="394"/>
        <v>-84.697616100855114</v>
      </c>
      <c r="P838" s="310">
        <f t="shared" ca="1" si="395"/>
        <v>23</v>
      </c>
      <c r="Q838" s="304">
        <f t="shared" ca="1" si="396"/>
        <v>0</v>
      </c>
      <c r="R838" s="306">
        <f t="shared" ca="1" si="397"/>
        <v>0</v>
      </c>
      <c r="S838" s="307">
        <f t="shared" ca="1" si="398"/>
        <v>7.4799999999999969</v>
      </c>
      <c r="T838" s="304">
        <f t="shared" ca="1" si="378"/>
        <v>73.37879999999997</v>
      </c>
      <c r="U838" s="311">
        <f t="shared" ca="1" si="379"/>
        <v>0</v>
      </c>
      <c r="V838" s="306">
        <f t="shared" ca="1" si="380"/>
        <v>1.2264850161884493</v>
      </c>
      <c r="W838" s="304">
        <f t="shared" ca="1" si="381"/>
        <v>57.996235992466197</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2.0145484330461612</v>
      </c>
      <c r="AH838" s="304">
        <f t="shared" ca="1" si="405"/>
        <v>-7.7534724722026089</v>
      </c>
    </row>
    <row r="839" spans="1:34" x14ac:dyDescent="0.2">
      <c r="A839" s="347">
        <f t="shared" ca="1" si="383"/>
        <v>1E-4</v>
      </c>
      <c r="B839" s="304">
        <f t="shared" ca="1" si="384"/>
        <v>34.730800000001246</v>
      </c>
      <c r="D839" s="306">
        <f t="shared" ca="1" si="385"/>
        <v>-0.71651726071508881</v>
      </c>
      <c r="E839" s="307">
        <f t="shared" ca="1" si="386"/>
        <v>-2.0896709043770647</v>
      </c>
      <c r="F839" s="304">
        <f t="shared" ca="1" si="387"/>
        <v>2.2090996975018387</v>
      </c>
      <c r="G839" s="306">
        <f t="shared" ca="1" si="388"/>
        <v>11.2822675440199</v>
      </c>
      <c r="H839" s="307">
        <f t="shared" ca="1" si="389"/>
        <v>-121.56514024686878</v>
      </c>
      <c r="I839" s="304">
        <f t="shared" ca="1" si="390"/>
        <v>122.08756236478686</v>
      </c>
      <c r="J839" s="306">
        <f t="shared" ca="1" si="391"/>
        <v>786.02923903053897</v>
      </c>
      <c r="K839" s="307">
        <f t="shared" ca="1" si="392"/>
        <v>-12.127394236159247</v>
      </c>
      <c r="L839" s="304">
        <f t="shared" ca="1" si="377"/>
        <v>786.12278831101662</v>
      </c>
      <c r="M839" s="306">
        <f t="shared" ca="1" si="393"/>
        <v>-1.4782530121006456</v>
      </c>
      <c r="N839" s="304">
        <f t="shared" ca="1" si="394"/>
        <v>-84.697658645868401</v>
      </c>
      <c r="P839" s="310">
        <f t="shared" ca="1" si="395"/>
        <v>23</v>
      </c>
      <c r="Q839" s="304">
        <f t="shared" ca="1" si="396"/>
        <v>0</v>
      </c>
      <c r="R839" s="306">
        <f t="shared" ca="1" si="397"/>
        <v>0</v>
      </c>
      <c r="S839" s="307">
        <f t="shared" ca="1" si="398"/>
        <v>7.4799999999999969</v>
      </c>
      <c r="T839" s="304">
        <f t="shared" ca="1" si="378"/>
        <v>73.37879999999997</v>
      </c>
      <c r="U839" s="311">
        <f t="shared" ca="1" si="379"/>
        <v>0</v>
      </c>
      <c r="V839" s="306">
        <f t="shared" ca="1" si="380"/>
        <v>1.2264865071668518</v>
      </c>
      <c r="W839" s="304">
        <f t="shared" ca="1" si="381"/>
        <v>57.996497890582468</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2.0145140928021679</v>
      </c>
      <c r="AH839" s="304">
        <f t="shared" ca="1" si="405"/>
        <v>-7.7535074856238264</v>
      </c>
    </row>
    <row r="840" spans="1:34" x14ac:dyDescent="0.2">
      <c r="A840" s="347">
        <f t="shared" ca="1" si="383"/>
        <v>1E-4</v>
      </c>
      <c r="B840" s="304">
        <f t="shared" ca="1" si="384"/>
        <v>34.730900000001249</v>
      </c>
      <c r="D840" s="306">
        <f t="shared" ca="1" si="385"/>
        <v>-0.7165147635870488</v>
      </c>
      <c r="E840" s="307">
        <f t="shared" ca="1" si="386"/>
        <v>-2.0896355090355847</v>
      </c>
      <c r="F840" s="304">
        <f t="shared" ca="1" si="387"/>
        <v>2.2090654057905601</v>
      </c>
      <c r="G840" s="306">
        <f t="shared" ca="1" si="388"/>
        <v>11.282195892543541</v>
      </c>
      <c r="H840" s="307">
        <f t="shared" ca="1" si="389"/>
        <v>-121.56534921041968</v>
      </c>
      <c r="I840" s="304">
        <f t="shared" ca="1" si="390"/>
        <v>122.0877638127958</v>
      </c>
      <c r="J840" s="306">
        <f t="shared" ca="1" si="391"/>
        <v>786.02923903053897</v>
      </c>
      <c r="K840" s="307">
        <f t="shared" ca="1" si="392"/>
        <v>-12.139550760632112</v>
      </c>
      <c r="L840" s="304">
        <f t="shared" ca="1" si="377"/>
        <v>786.12297594180404</v>
      </c>
      <c r="M840" s="306">
        <f t="shared" ca="1" si="393"/>
        <v>-1.4782537546440415</v>
      </c>
      <c r="N840" s="304">
        <f t="shared" ca="1" si="394"/>
        <v>-84.697701190471093</v>
      </c>
      <c r="P840" s="310">
        <f t="shared" ca="1" si="395"/>
        <v>23</v>
      </c>
      <c r="Q840" s="304">
        <f t="shared" ca="1" si="396"/>
        <v>0</v>
      </c>
      <c r="R840" s="306">
        <f t="shared" ca="1" si="397"/>
        <v>0</v>
      </c>
      <c r="S840" s="307">
        <f t="shared" ca="1" si="398"/>
        <v>7.4799999999999969</v>
      </c>
      <c r="T840" s="304">
        <f t="shared" ca="1" si="378"/>
        <v>73.37879999999997</v>
      </c>
      <c r="U840" s="311">
        <f t="shared" ca="1" si="379"/>
        <v>0</v>
      </c>
      <c r="V840" s="306">
        <f t="shared" ca="1" si="380"/>
        <v>1.2264879981496311</v>
      </c>
      <c r="W840" s="304">
        <f t="shared" ca="1" si="381"/>
        <v>57.996759786424242</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2.0144797528503577</v>
      </c>
      <c r="AH840" s="304">
        <f t="shared" ca="1" si="405"/>
        <v>-7.7535424987409751</v>
      </c>
    </row>
    <row r="841" spans="1:34" x14ac:dyDescent="0.2">
      <c r="A841" s="347">
        <f t="shared" ca="1" si="383"/>
        <v>1E-4</v>
      </c>
      <c r="B841" s="304">
        <f t="shared" ca="1" si="384"/>
        <v>34.731000000001252</v>
      </c>
      <c r="D841" s="306">
        <f t="shared" ca="1" si="385"/>
        <v>-0.71651226643406474</v>
      </c>
      <c r="E841" s="307">
        <f t="shared" ca="1" si="386"/>
        <v>-2.0896001140014686</v>
      </c>
      <c r="F841" s="304">
        <f t="shared" ca="1" si="387"/>
        <v>2.2090311143995756</v>
      </c>
      <c r="G841" s="306">
        <f t="shared" ca="1" si="388"/>
        <v>11.282124241316899</v>
      </c>
      <c r="H841" s="307">
        <f t="shared" ca="1" si="389"/>
        <v>-121.56555817043109</v>
      </c>
      <c r="I841" s="304">
        <f t="shared" ca="1" si="390"/>
        <v>122.08796525737078</v>
      </c>
      <c r="J841" s="306">
        <f t="shared" ca="1" si="391"/>
        <v>786.02923903053897</v>
      </c>
      <c r="K841" s="307">
        <f t="shared" ca="1" si="392"/>
        <v>-12.151707306001155</v>
      </c>
      <c r="L841" s="304">
        <f t="shared" ca="1" si="377"/>
        <v>786.12316376085676</v>
      </c>
      <c r="M841" s="306">
        <f t="shared" ca="1" si="393"/>
        <v>-1.4782544971802714</v>
      </c>
      <c r="N841" s="304">
        <f t="shared" ca="1" si="394"/>
        <v>-84.697743734663206</v>
      </c>
      <c r="P841" s="310">
        <f t="shared" ca="1" si="395"/>
        <v>23</v>
      </c>
      <c r="Q841" s="304">
        <f t="shared" ca="1" si="396"/>
        <v>0</v>
      </c>
      <c r="R841" s="306">
        <f t="shared" ca="1" si="397"/>
        <v>0</v>
      </c>
      <c r="S841" s="307">
        <f t="shared" ca="1" si="398"/>
        <v>7.4799999999999969</v>
      </c>
      <c r="T841" s="304">
        <f t="shared" ca="1" si="378"/>
        <v>73.37879999999997</v>
      </c>
      <c r="U841" s="311">
        <f t="shared" ca="1" si="379"/>
        <v>0</v>
      </c>
      <c r="V841" s="306">
        <f t="shared" ca="1" si="380"/>
        <v>1.2264894891367866</v>
      </c>
      <c r="W841" s="304">
        <f t="shared" ca="1" si="381"/>
        <v>57.997021679991555</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2.014445413190745</v>
      </c>
      <c r="AH841" s="304">
        <f t="shared" ca="1" si="405"/>
        <v>-7.7535775115540462</v>
      </c>
    </row>
    <row r="842" spans="1:34" x14ac:dyDescent="0.2">
      <c r="A842" s="347">
        <f t="shared" ca="1" si="383"/>
        <v>1E-4</v>
      </c>
      <c r="B842" s="304">
        <f t="shared" ca="1" si="384"/>
        <v>34.731100000001256</v>
      </c>
      <c r="D842" s="306">
        <f t="shared" ca="1" si="385"/>
        <v>-0.71650976925613674</v>
      </c>
      <c r="E842" s="307">
        <f t="shared" ca="1" si="386"/>
        <v>-2.0895647192747084</v>
      </c>
      <c r="F842" s="304">
        <f t="shared" ca="1" si="387"/>
        <v>2.2089968233288775</v>
      </c>
      <c r="G842" s="306">
        <f t="shared" ca="1" si="388"/>
        <v>11.282052590339973</v>
      </c>
      <c r="H842" s="307">
        <f t="shared" ca="1" si="389"/>
        <v>-121.56576712690301</v>
      </c>
      <c r="I842" s="304">
        <f t="shared" ca="1" si="390"/>
        <v>122.08816669851181</v>
      </c>
      <c r="J842" s="306">
        <f t="shared" ca="1" si="391"/>
        <v>786.02923903053897</v>
      </c>
      <c r="K842" s="307">
        <f t="shared" ca="1" si="392"/>
        <v>-12.163863872266022</v>
      </c>
      <c r="L842" s="304">
        <f t="shared" ca="1" si="377"/>
        <v>786.12335176817589</v>
      </c>
      <c r="M842" s="306">
        <f t="shared" ca="1" si="393"/>
        <v>-1.4782552397093351</v>
      </c>
      <c r="N842" s="304">
        <f t="shared" ca="1" si="394"/>
        <v>-84.697786278444724</v>
      </c>
      <c r="P842" s="310">
        <f t="shared" ca="1" si="395"/>
        <v>23</v>
      </c>
      <c r="Q842" s="304">
        <f t="shared" ca="1" si="396"/>
        <v>0</v>
      </c>
      <c r="R842" s="306">
        <f t="shared" ca="1" si="397"/>
        <v>0</v>
      </c>
      <c r="S842" s="307">
        <f t="shared" ca="1" si="398"/>
        <v>7.4799999999999969</v>
      </c>
      <c r="T842" s="304">
        <f t="shared" ca="1" si="378"/>
        <v>73.37879999999997</v>
      </c>
      <c r="U842" s="311">
        <f t="shared" ca="1" si="379"/>
        <v>0</v>
      </c>
      <c r="V842" s="306">
        <f t="shared" ca="1" si="380"/>
        <v>1.2264909801283184</v>
      </c>
      <c r="W842" s="304">
        <f t="shared" ca="1" si="381"/>
        <v>57.997283571284363</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2.0144110738233261</v>
      </c>
      <c r="AH842" s="304">
        <f t="shared" ca="1" si="405"/>
        <v>-7.7536125240630449</v>
      </c>
    </row>
    <row r="843" spans="1:34" x14ac:dyDescent="0.2">
      <c r="A843" s="347">
        <f t="shared" ca="1" si="383"/>
        <v>1E-4</v>
      </c>
      <c r="B843" s="304">
        <f t="shared" ca="1" si="384"/>
        <v>34.731200000001259</v>
      </c>
      <c r="D843" s="306">
        <f t="shared" ca="1" si="385"/>
        <v>-0.71650727205326581</v>
      </c>
      <c r="E843" s="307">
        <f t="shared" ca="1" si="386"/>
        <v>-2.0895293248553122</v>
      </c>
      <c r="F843" s="304">
        <f t="shared" ca="1" si="387"/>
        <v>2.2089625325784747</v>
      </c>
      <c r="G843" s="306">
        <f t="shared" ca="1" si="388"/>
        <v>11.281980939612767</v>
      </c>
      <c r="H843" s="307">
        <f t="shared" ca="1" si="389"/>
        <v>-121.56597607983549</v>
      </c>
      <c r="I843" s="304">
        <f t="shared" ca="1" si="390"/>
        <v>122.08836813621895</v>
      </c>
      <c r="J843" s="306">
        <f t="shared" ca="1" si="391"/>
        <v>786.02923903053897</v>
      </c>
      <c r="K843" s="307">
        <f t="shared" ca="1" si="392"/>
        <v>-12.176020459426359</v>
      </c>
      <c r="L843" s="304">
        <f t="shared" ca="1" si="377"/>
        <v>786.12353996376203</v>
      </c>
      <c r="M843" s="306">
        <f t="shared" ca="1" si="393"/>
        <v>-1.4782559822312329</v>
      </c>
      <c r="N843" s="304">
        <f t="shared" ca="1" si="394"/>
        <v>-84.697828821815662</v>
      </c>
      <c r="P843" s="310">
        <f t="shared" ca="1" si="395"/>
        <v>23</v>
      </c>
      <c r="Q843" s="304">
        <f t="shared" ca="1" si="396"/>
        <v>0</v>
      </c>
      <c r="R843" s="306">
        <f t="shared" ca="1" si="397"/>
        <v>0</v>
      </c>
      <c r="S843" s="307">
        <f t="shared" ca="1" si="398"/>
        <v>7.4799999999999969</v>
      </c>
      <c r="T843" s="304">
        <f t="shared" ca="1" si="378"/>
        <v>73.37879999999997</v>
      </c>
      <c r="U843" s="311">
        <f t="shared" ca="1" si="379"/>
        <v>0</v>
      </c>
      <c r="V843" s="306">
        <f t="shared" ca="1" si="380"/>
        <v>1.2264924711242269</v>
      </c>
      <c r="W843" s="304">
        <f t="shared" ca="1" si="381"/>
        <v>57.997545460302725</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2.0143767347480974</v>
      </c>
      <c r="AH843" s="304">
        <f t="shared" ca="1" si="405"/>
        <v>-7.753647536267966</v>
      </c>
    </row>
    <row r="844" spans="1:34" x14ac:dyDescent="0.2">
      <c r="A844" s="347">
        <f t="shared" ca="1" si="383"/>
        <v>1E-4</v>
      </c>
      <c r="B844" s="304">
        <f t="shared" ca="1" si="384"/>
        <v>34.731300000001262</v>
      </c>
      <c r="D844" s="306">
        <f t="shared" ca="1" si="385"/>
        <v>-0.71650477482545394</v>
      </c>
      <c r="E844" s="307">
        <f t="shared" ca="1" si="386"/>
        <v>-2.0894939307432709</v>
      </c>
      <c r="F844" s="304">
        <f t="shared" ca="1" si="387"/>
        <v>2.2089282421483594</v>
      </c>
      <c r="G844" s="306">
        <f t="shared" ca="1" si="388"/>
        <v>11.281909289135285</v>
      </c>
      <c r="H844" s="307">
        <f t="shared" ca="1" si="389"/>
        <v>-121.56618502922856</v>
      </c>
      <c r="I844" s="304">
        <f t="shared" ca="1" si="390"/>
        <v>122.0885695704922</v>
      </c>
      <c r="J844" s="306">
        <f t="shared" ca="1" si="391"/>
        <v>786.02923903053897</v>
      </c>
      <c r="K844" s="307">
        <f t="shared" ca="1" si="392"/>
        <v>-12.188177067481814</v>
      </c>
      <c r="L844" s="304">
        <f t="shared" ca="1" si="377"/>
        <v>786.12372834761607</v>
      </c>
      <c r="M844" s="306">
        <f t="shared" ca="1" si="393"/>
        <v>-1.4782567247459648</v>
      </c>
      <c r="N844" s="304">
        <f t="shared" ca="1" si="394"/>
        <v>-84.69787136477602</v>
      </c>
      <c r="P844" s="310">
        <f t="shared" ca="1" si="395"/>
        <v>23</v>
      </c>
      <c r="Q844" s="304">
        <f t="shared" ca="1" si="396"/>
        <v>0</v>
      </c>
      <c r="R844" s="306">
        <f t="shared" ca="1" si="397"/>
        <v>0</v>
      </c>
      <c r="S844" s="307">
        <f t="shared" ca="1" si="398"/>
        <v>7.4799999999999969</v>
      </c>
      <c r="T844" s="304">
        <f t="shared" ca="1" si="378"/>
        <v>73.37879999999997</v>
      </c>
      <c r="U844" s="311">
        <f t="shared" ca="1" si="379"/>
        <v>0</v>
      </c>
      <c r="V844" s="306">
        <f t="shared" ca="1" si="380"/>
        <v>1.2264939621245117</v>
      </c>
      <c r="W844" s="304">
        <f t="shared" ca="1" si="381"/>
        <v>57.997807347046603</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2.0143423959650608</v>
      </c>
      <c r="AH844" s="304">
        <f t="shared" ca="1" si="405"/>
        <v>-7.7536825481688165</v>
      </c>
    </row>
    <row r="845" spans="1:34" x14ac:dyDescent="0.2">
      <c r="A845" s="347">
        <f t="shared" ca="1" si="383"/>
        <v>1E-4</v>
      </c>
      <c r="B845" s="304">
        <f t="shared" ca="1" si="384"/>
        <v>34.731400000001265</v>
      </c>
      <c r="D845" s="306">
        <f t="shared" ca="1" si="385"/>
        <v>-0.71650227757270046</v>
      </c>
      <c r="E845" s="307">
        <f t="shared" ca="1" si="386"/>
        <v>-2.0894585369385901</v>
      </c>
      <c r="F845" s="304">
        <f t="shared" ca="1" si="387"/>
        <v>2.2088939520385358</v>
      </c>
      <c r="G845" s="306">
        <f t="shared" ca="1" si="388"/>
        <v>11.281837638907527</v>
      </c>
      <c r="H845" s="307">
        <f t="shared" ca="1" si="389"/>
        <v>-121.56639397508226</v>
      </c>
      <c r="I845" s="304">
        <f t="shared" ca="1" si="390"/>
        <v>122.08877100133161</v>
      </c>
      <c r="J845" s="306">
        <f t="shared" ca="1" si="391"/>
        <v>786.02923903053897</v>
      </c>
      <c r="K845" s="307">
        <f t="shared" ca="1" si="392"/>
        <v>-12.200333696432029</v>
      </c>
      <c r="L845" s="304">
        <f t="shared" ca="1" si="377"/>
        <v>786.12391691973892</v>
      </c>
      <c r="M845" s="306">
        <f t="shared" ca="1" si="393"/>
        <v>-1.4782574672535309</v>
      </c>
      <c r="N845" s="304">
        <f t="shared" ca="1" si="394"/>
        <v>-84.697913907325812</v>
      </c>
      <c r="P845" s="310">
        <f t="shared" ca="1" si="395"/>
        <v>23</v>
      </c>
      <c r="Q845" s="304">
        <f t="shared" ca="1" si="396"/>
        <v>0</v>
      </c>
      <c r="R845" s="306">
        <f t="shared" ca="1" si="397"/>
        <v>0</v>
      </c>
      <c r="S845" s="307">
        <f t="shared" ca="1" si="398"/>
        <v>7.4799999999999969</v>
      </c>
      <c r="T845" s="304">
        <f t="shared" ca="1" si="378"/>
        <v>73.37879999999997</v>
      </c>
      <c r="U845" s="311">
        <f t="shared" ca="1" si="379"/>
        <v>0</v>
      </c>
      <c r="V845" s="306">
        <f t="shared" ca="1" si="380"/>
        <v>1.2264954531291734</v>
      </c>
      <c r="W845" s="304">
        <f t="shared" ca="1" si="381"/>
        <v>57.998069231516048</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2.0143080574742154</v>
      </c>
      <c r="AH845" s="304">
        <f t="shared" ca="1" si="405"/>
        <v>-7.7537175597655921</v>
      </c>
    </row>
    <row r="846" spans="1:34" x14ac:dyDescent="0.2">
      <c r="A846" s="347">
        <f t="shared" ca="1" si="383"/>
        <v>1E-4</v>
      </c>
      <c r="B846" s="304">
        <f t="shared" ca="1" si="384"/>
        <v>34.731500000001269</v>
      </c>
      <c r="D846" s="306">
        <f t="shared" ca="1" si="385"/>
        <v>-0.71649978029500749</v>
      </c>
      <c r="E846" s="307">
        <f t="shared" ca="1" si="386"/>
        <v>-2.0894231434412642</v>
      </c>
      <c r="F846" s="304">
        <f t="shared" ca="1" si="387"/>
        <v>2.208859662249</v>
      </c>
      <c r="G846" s="306">
        <f t="shared" ca="1" si="388"/>
        <v>11.281765988929498</v>
      </c>
      <c r="H846" s="307">
        <f t="shared" ca="1" si="389"/>
        <v>-121.56660291739661</v>
      </c>
      <c r="I846" s="304">
        <f t="shared" ca="1" si="390"/>
        <v>122.08897242873718</v>
      </c>
      <c r="J846" s="306">
        <f t="shared" ca="1" si="391"/>
        <v>786.02923903053897</v>
      </c>
      <c r="K846" s="307">
        <f t="shared" ca="1" si="392"/>
        <v>-12.212490346276653</v>
      </c>
      <c r="L846" s="304">
        <f t="shared" ca="1" si="377"/>
        <v>786.12410568013115</v>
      </c>
      <c r="M846" s="306">
        <f t="shared" ca="1" si="393"/>
        <v>-1.4782582097539316</v>
      </c>
      <c r="N846" s="304">
        <f t="shared" ca="1" si="394"/>
        <v>-84.697956449465067</v>
      </c>
      <c r="P846" s="310">
        <f t="shared" ca="1" si="395"/>
        <v>23</v>
      </c>
      <c r="Q846" s="304">
        <f t="shared" ca="1" si="396"/>
        <v>0</v>
      </c>
      <c r="R846" s="306">
        <f t="shared" ca="1" si="397"/>
        <v>0</v>
      </c>
      <c r="S846" s="307">
        <f t="shared" ca="1" si="398"/>
        <v>7.4799999999999969</v>
      </c>
      <c r="T846" s="304">
        <f t="shared" ca="1" si="378"/>
        <v>73.37879999999997</v>
      </c>
      <c r="U846" s="311">
        <f t="shared" ca="1" si="379"/>
        <v>0</v>
      </c>
      <c r="V846" s="306">
        <f t="shared" ca="1" si="380"/>
        <v>1.2264969441382108</v>
      </c>
      <c r="W846" s="304">
        <f t="shared" ca="1" si="381"/>
        <v>57.998331113710961</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2.0142737192755584</v>
      </c>
      <c r="AH846" s="304">
        <f t="shared" ca="1" si="405"/>
        <v>-7.7537525710582988</v>
      </c>
    </row>
    <row r="847" spans="1:34" x14ac:dyDescent="0.2">
      <c r="A847" s="347">
        <f t="shared" ca="1" si="383"/>
        <v>1E-4</v>
      </c>
      <c r="B847" s="304">
        <f t="shared" ca="1" si="384"/>
        <v>34.731600000001272</v>
      </c>
      <c r="D847" s="306">
        <f t="shared" ca="1" si="385"/>
        <v>-0.71649728299237181</v>
      </c>
      <c r="E847" s="307">
        <f t="shared" ca="1" si="386"/>
        <v>-2.0893877502513041</v>
      </c>
      <c r="F847" s="304">
        <f t="shared" ca="1" si="387"/>
        <v>2.2088253727797622</v>
      </c>
      <c r="G847" s="306">
        <f t="shared" ca="1" si="388"/>
        <v>11.281694339201199</v>
      </c>
      <c r="H847" s="307">
        <f t="shared" ca="1" si="389"/>
        <v>-121.56681185617164</v>
      </c>
      <c r="I847" s="304">
        <f t="shared" ca="1" si="390"/>
        <v>122.08917385270898</v>
      </c>
      <c r="J847" s="306">
        <f t="shared" ca="1" si="391"/>
        <v>786.02923903053897</v>
      </c>
      <c r="K847" s="307">
        <f t="shared" ca="1" si="392"/>
        <v>-12.224647017015331</v>
      </c>
      <c r="L847" s="304">
        <f t="shared" ca="1" si="377"/>
        <v>786.1242946287939</v>
      </c>
      <c r="M847" s="306">
        <f t="shared" ca="1" si="393"/>
        <v>-1.4782589522471665</v>
      </c>
      <c r="N847" s="304">
        <f t="shared" ca="1" si="394"/>
        <v>-84.697998991193742</v>
      </c>
      <c r="P847" s="310">
        <f t="shared" ca="1" si="395"/>
        <v>23</v>
      </c>
      <c r="Q847" s="304">
        <f t="shared" ca="1" si="396"/>
        <v>0</v>
      </c>
      <c r="R847" s="306">
        <f t="shared" ca="1" si="397"/>
        <v>0</v>
      </c>
      <c r="S847" s="307">
        <f t="shared" ca="1" si="398"/>
        <v>7.4799999999999969</v>
      </c>
      <c r="T847" s="304">
        <f t="shared" ca="1" si="378"/>
        <v>73.37879999999997</v>
      </c>
      <c r="U847" s="311">
        <f t="shared" ca="1" si="379"/>
        <v>0</v>
      </c>
      <c r="V847" s="306">
        <f t="shared" ca="1" si="380"/>
        <v>1.2264984351516246</v>
      </c>
      <c r="W847" s="304">
        <f t="shared" ca="1" si="381"/>
        <v>57.998592993631455</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2.0142393813691033</v>
      </c>
      <c r="AH847" s="304">
        <f t="shared" ca="1" si="405"/>
        <v>-7.7537875820469235</v>
      </c>
    </row>
    <row r="848" spans="1:34" x14ac:dyDescent="0.2">
      <c r="A848" s="347">
        <f t="shared" ca="1" si="383"/>
        <v>1E-4</v>
      </c>
      <c r="B848" s="304">
        <f t="shared" ca="1" si="384"/>
        <v>34.731700000001275</v>
      </c>
      <c r="D848" s="306">
        <f t="shared" ca="1" si="385"/>
        <v>-0.71649478566479941</v>
      </c>
      <c r="E848" s="307">
        <f t="shared" ca="1" si="386"/>
        <v>-2.0893523573686963</v>
      </c>
      <c r="F848" s="304">
        <f t="shared" ca="1" si="387"/>
        <v>2.2087910836308118</v>
      </c>
      <c r="G848" s="306">
        <f t="shared" ca="1" si="388"/>
        <v>11.281622689722631</v>
      </c>
      <c r="H848" s="307">
        <f t="shared" ca="1" si="389"/>
        <v>-121.56702079140737</v>
      </c>
      <c r="I848" s="304">
        <f t="shared" ca="1" si="390"/>
        <v>122.089375273247</v>
      </c>
      <c r="J848" s="306">
        <f t="shared" ca="1" si="391"/>
        <v>786.02923903053897</v>
      </c>
      <c r="K848" s="307">
        <f t="shared" ca="1" si="392"/>
        <v>-12.236803708647709</v>
      </c>
      <c r="L848" s="304">
        <f t="shared" ca="1" si="377"/>
        <v>786.12448376572786</v>
      </c>
      <c r="M848" s="306">
        <f t="shared" ca="1" si="393"/>
        <v>-1.4782596947332363</v>
      </c>
      <c r="N848" s="304">
        <f t="shared" ca="1" si="394"/>
        <v>-84.69804153251188</v>
      </c>
      <c r="P848" s="310">
        <f t="shared" ca="1" si="395"/>
        <v>23</v>
      </c>
      <c r="Q848" s="304">
        <f t="shared" ca="1" si="396"/>
        <v>0</v>
      </c>
      <c r="R848" s="306">
        <f t="shared" ca="1" si="397"/>
        <v>0</v>
      </c>
      <c r="S848" s="307">
        <f t="shared" ca="1" si="398"/>
        <v>7.4799999999999969</v>
      </c>
      <c r="T848" s="304">
        <f t="shared" ca="1" si="378"/>
        <v>73.37879999999997</v>
      </c>
      <c r="U848" s="311">
        <f t="shared" ca="1" si="379"/>
        <v>0</v>
      </c>
      <c r="V848" s="306">
        <f t="shared" ca="1" si="380"/>
        <v>1.2264999261694152</v>
      </c>
      <c r="W848" s="304">
        <f t="shared" ca="1" si="381"/>
        <v>57.998854871277473</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2.0142050437548349</v>
      </c>
      <c r="AH848" s="304">
        <f t="shared" ca="1" si="405"/>
        <v>-7.7538225927314812</v>
      </c>
    </row>
    <row r="849" spans="1:34" x14ac:dyDescent="0.2">
      <c r="A849" s="347">
        <f t="shared" ca="1" si="383"/>
        <v>1E-4</v>
      </c>
      <c r="B849" s="304">
        <f t="shared" ca="1" si="384"/>
        <v>34.731800000001279</v>
      </c>
      <c r="D849" s="306">
        <f t="shared" ca="1" si="385"/>
        <v>-0.71649228831228629</v>
      </c>
      <c r="E849" s="307">
        <f t="shared" ca="1" si="386"/>
        <v>-2.0893169647934497</v>
      </c>
      <c r="F849" s="304">
        <f t="shared" ca="1" si="387"/>
        <v>2.2087567948021554</v>
      </c>
      <c r="G849" s="306">
        <f t="shared" ca="1" si="388"/>
        <v>11.281551040493801</v>
      </c>
      <c r="H849" s="307">
        <f t="shared" ca="1" si="389"/>
        <v>-121.56722972310385</v>
      </c>
      <c r="I849" s="304">
        <f t="shared" ca="1" si="390"/>
        <v>122.08957669035129</v>
      </c>
      <c r="J849" s="306">
        <f t="shared" ca="1" si="391"/>
        <v>786.02923903053897</v>
      </c>
      <c r="K849" s="307">
        <f t="shared" ca="1" si="392"/>
        <v>-12.248960421173434</v>
      </c>
      <c r="L849" s="304">
        <f t="shared" ca="1" si="377"/>
        <v>786.12467309093381</v>
      </c>
      <c r="M849" s="306">
        <f t="shared" ca="1" si="393"/>
        <v>-1.4782604372121404</v>
      </c>
      <c r="N849" s="304">
        <f t="shared" ca="1" si="394"/>
        <v>-84.698084073419466</v>
      </c>
      <c r="P849" s="310">
        <f t="shared" ca="1" si="395"/>
        <v>23</v>
      </c>
      <c r="Q849" s="304">
        <f t="shared" ca="1" si="396"/>
        <v>0</v>
      </c>
      <c r="R849" s="306">
        <f t="shared" ca="1" si="397"/>
        <v>0</v>
      </c>
      <c r="S849" s="307">
        <f t="shared" ca="1" si="398"/>
        <v>7.4799999999999969</v>
      </c>
      <c r="T849" s="304">
        <f t="shared" ca="1" si="378"/>
        <v>73.37879999999997</v>
      </c>
      <c r="U849" s="311">
        <f t="shared" ca="1" si="379"/>
        <v>0</v>
      </c>
      <c r="V849" s="306">
        <f t="shared" ca="1" si="380"/>
        <v>1.2265014171915816</v>
      </c>
      <c r="W849" s="304">
        <f t="shared" ca="1" si="381"/>
        <v>57.99911674664903</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2.0141707064327585</v>
      </c>
      <c r="AH849" s="304">
        <f t="shared" ca="1" si="405"/>
        <v>-7.7538576031119648</v>
      </c>
    </row>
    <row r="850" spans="1:34" x14ac:dyDescent="0.2">
      <c r="A850" s="347">
        <f t="shared" ca="1" si="383"/>
        <v>1E-4</v>
      </c>
      <c r="B850" s="304">
        <f t="shared" ca="1" si="384"/>
        <v>34.731900000001282</v>
      </c>
      <c r="D850" s="306">
        <f t="shared" ca="1" si="385"/>
        <v>-0.71648979093483722</v>
      </c>
      <c r="E850" s="307">
        <f t="shared" ca="1" si="386"/>
        <v>-2.0892815725255582</v>
      </c>
      <c r="F850" s="304">
        <f t="shared" ca="1" si="387"/>
        <v>2.2087225062937885</v>
      </c>
      <c r="G850" s="306">
        <f t="shared" ca="1" si="388"/>
        <v>11.281479391514708</v>
      </c>
      <c r="H850" s="307">
        <f t="shared" ca="1" si="389"/>
        <v>-121.5674386512611</v>
      </c>
      <c r="I850" s="304">
        <f t="shared" ca="1" si="390"/>
        <v>122.08977810402187</v>
      </c>
      <c r="J850" s="306">
        <f t="shared" ca="1" si="391"/>
        <v>786.02923903053897</v>
      </c>
      <c r="K850" s="307">
        <f t="shared" ca="1" si="392"/>
        <v>-12.261117154592153</v>
      </c>
      <c r="L850" s="304">
        <f t="shared" ca="1" si="377"/>
        <v>786.12486260441278</v>
      </c>
      <c r="M850" s="306">
        <f t="shared" ca="1" si="393"/>
        <v>-1.4782611796838796</v>
      </c>
      <c r="N850" s="304">
        <f t="shared" ca="1" si="394"/>
        <v>-84.698126613916529</v>
      </c>
      <c r="P850" s="310">
        <f t="shared" ca="1" si="395"/>
        <v>23</v>
      </c>
      <c r="Q850" s="304">
        <f t="shared" ca="1" si="396"/>
        <v>0</v>
      </c>
      <c r="R850" s="306">
        <f t="shared" ca="1" si="397"/>
        <v>0</v>
      </c>
      <c r="S850" s="307">
        <f t="shared" ca="1" si="398"/>
        <v>7.4799999999999969</v>
      </c>
      <c r="T850" s="304">
        <f t="shared" ca="1" si="378"/>
        <v>73.37879999999997</v>
      </c>
      <c r="U850" s="311">
        <f t="shared" ca="1" si="379"/>
        <v>0</v>
      </c>
      <c r="V850" s="306">
        <f t="shared" ca="1" si="380"/>
        <v>1.2265029082181242</v>
      </c>
      <c r="W850" s="304">
        <f t="shared" ca="1" si="381"/>
        <v>57.999378619746096</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2.014136369402876</v>
      </c>
      <c r="AH850" s="304">
        <f t="shared" ca="1" si="405"/>
        <v>-7.7538926131883761</v>
      </c>
    </row>
    <row r="851" spans="1:34" x14ac:dyDescent="0.2">
      <c r="A851" s="347">
        <f t="shared" ca="1" si="383"/>
        <v>1E-4</v>
      </c>
      <c r="B851" s="304">
        <f t="shared" ca="1" si="384"/>
        <v>34.732000000001285</v>
      </c>
      <c r="D851" s="306">
        <f t="shared" ca="1" si="385"/>
        <v>-0.71648729353244822</v>
      </c>
      <c r="E851" s="307">
        <f t="shared" ca="1" si="386"/>
        <v>-2.0892461805650289</v>
      </c>
      <c r="F851" s="304">
        <f t="shared" ca="1" si="387"/>
        <v>2.2086882181057184</v>
      </c>
      <c r="G851" s="306">
        <f t="shared" ca="1" si="388"/>
        <v>11.281407742785355</v>
      </c>
      <c r="H851" s="307">
        <f t="shared" ca="1" si="389"/>
        <v>-121.56764757587915</v>
      </c>
      <c r="I851" s="304">
        <f t="shared" ca="1" si="390"/>
        <v>122.0899795142588</v>
      </c>
      <c r="J851" s="306">
        <f t="shared" ca="1" si="391"/>
        <v>786.02923903053897</v>
      </c>
      <c r="K851" s="307">
        <f t="shared" ca="1" si="392"/>
        <v>-12.27327390890351</v>
      </c>
      <c r="L851" s="304">
        <f t="shared" ca="1" si="377"/>
        <v>786.12505230616534</v>
      </c>
      <c r="M851" s="306">
        <f t="shared" ca="1" si="393"/>
        <v>-1.4782619221484534</v>
      </c>
      <c r="N851" s="304">
        <f t="shared" ca="1" si="394"/>
        <v>-84.698169154003054</v>
      </c>
      <c r="P851" s="310">
        <f t="shared" ca="1" si="395"/>
        <v>23</v>
      </c>
      <c r="Q851" s="304">
        <f t="shared" ca="1" si="396"/>
        <v>0</v>
      </c>
      <c r="R851" s="306">
        <f t="shared" ca="1" si="397"/>
        <v>0</v>
      </c>
      <c r="S851" s="307">
        <f t="shared" ca="1" si="398"/>
        <v>7.4799999999999969</v>
      </c>
      <c r="T851" s="304">
        <f t="shared" ca="1" si="378"/>
        <v>73.37879999999997</v>
      </c>
      <c r="U851" s="311">
        <f t="shared" ca="1" si="379"/>
        <v>0</v>
      </c>
      <c r="V851" s="306">
        <f t="shared" ca="1" si="380"/>
        <v>1.2265043992490434</v>
      </c>
      <c r="W851" s="304">
        <f t="shared" ca="1" si="381"/>
        <v>57.999640490568744</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2.0141020326651891</v>
      </c>
      <c r="AH851" s="304">
        <f t="shared" ca="1" si="405"/>
        <v>-7.7539276229607115</v>
      </c>
    </row>
    <row r="852" spans="1:34" x14ac:dyDescent="0.2">
      <c r="A852" s="347">
        <f t="shared" ca="1" si="383"/>
        <v>1E-4</v>
      </c>
      <c r="B852" s="304">
        <f t="shared" ca="1" si="384"/>
        <v>34.732100000001289</v>
      </c>
      <c r="D852" s="306">
        <f t="shared" ca="1" si="385"/>
        <v>-0.71648479610512505</v>
      </c>
      <c r="E852" s="307">
        <f t="shared" ca="1" si="386"/>
        <v>-2.0892107889118527</v>
      </c>
      <c r="F852" s="304">
        <f t="shared" ca="1" si="387"/>
        <v>2.2086539302379378</v>
      </c>
      <c r="G852" s="306">
        <f t="shared" ca="1" si="388"/>
        <v>11.281336094305745</v>
      </c>
      <c r="H852" s="307">
        <f t="shared" ca="1" si="389"/>
        <v>-121.56785649695804</v>
      </c>
      <c r="I852" s="304">
        <f t="shared" ca="1" si="390"/>
        <v>122.09018092106207</v>
      </c>
      <c r="J852" s="306">
        <f t="shared" ca="1" si="391"/>
        <v>786.02923903053897</v>
      </c>
      <c r="K852" s="307">
        <f t="shared" ca="1" si="392"/>
        <v>-12.285430684107153</v>
      </c>
      <c r="L852" s="304">
        <f t="shared" ca="1" si="377"/>
        <v>786.1252421961924</v>
      </c>
      <c r="M852" s="306">
        <f t="shared" ca="1" si="393"/>
        <v>-1.4782626646058623</v>
      </c>
      <c r="N852" s="304">
        <f t="shared" ca="1" si="394"/>
        <v>-84.698211693679056</v>
      </c>
      <c r="P852" s="310">
        <f t="shared" ca="1" si="395"/>
        <v>23</v>
      </c>
      <c r="Q852" s="304">
        <f t="shared" ca="1" si="396"/>
        <v>0</v>
      </c>
      <c r="R852" s="306">
        <f t="shared" ca="1" si="397"/>
        <v>0</v>
      </c>
      <c r="S852" s="307">
        <f t="shared" ca="1" si="398"/>
        <v>7.4799999999999969</v>
      </c>
      <c r="T852" s="304">
        <f t="shared" ca="1" si="378"/>
        <v>73.37879999999997</v>
      </c>
      <c r="U852" s="311">
        <f t="shared" ca="1" si="379"/>
        <v>0</v>
      </c>
      <c r="V852" s="306">
        <f t="shared" ca="1" si="380"/>
        <v>1.2265058902843387</v>
      </c>
      <c r="W852" s="304">
        <f t="shared" ca="1" si="381"/>
        <v>57.999902359116916</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2.0140676962196888</v>
      </c>
      <c r="AH852" s="304">
        <f t="shared" ca="1" si="405"/>
        <v>-7.7539626324289799</v>
      </c>
    </row>
    <row r="853" spans="1:34" x14ac:dyDescent="0.2">
      <c r="A853" s="347">
        <f t="shared" ca="1" si="383"/>
        <v>1E-4</v>
      </c>
      <c r="B853" s="304">
        <f t="shared" ca="1" si="384"/>
        <v>34.732200000001292</v>
      </c>
      <c r="D853" s="306">
        <f t="shared" ca="1" si="385"/>
        <v>-0.71648229865286506</v>
      </c>
      <c r="E853" s="307">
        <f t="shared" ca="1" si="386"/>
        <v>-2.0891753975660343</v>
      </c>
      <c r="F853" s="304">
        <f t="shared" ca="1" si="387"/>
        <v>2.2086196426904499</v>
      </c>
      <c r="G853" s="306">
        <f t="shared" ca="1" si="388"/>
        <v>11.28126444607588</v>
      </c>
      <c r="H853" s="307">
        <f t="shared" ca="1" si="389"/>
        <v>-121.5680654144978</v>
      </c>
      <c r="I853" s="304">
        <f t="shared" ca="1" si="390"/>
        <v>122.09038232443173</v>
      </c>
      <c r="J853" s="306">
        <f t="shared" ca="1" si="391"/>
        <v>786.02923903053897</v>
      </c>
      <c r="K853" s="307">
        <f t="shared" ca="1" si="392"/>
        <v>-12.297587480202726</v>
      </c>
      <c r="L853" s="304">
        <f t="shared" ca="1" si="377"/>
        <v>786.12543227449487</v>
      </c>
      <c r="M853" s="306">
        <f t="shared" ca="1" si="393"/>
        <v>-1.4782634070561063</v>
      </c>
      <c r="N853" s="304">
        <f t="shared" ca="1" si="394"/>
        <v>-84.698254232944521</v>
      </c>
      <c r="P853" s="310">
        <f t="shared" ca="1" si="395"/>
        <v>23</v>
      </c>
      <c r="Q853" s="304">
        <f t="shared" ca="1" si="396"/>
        <v>0</v>
      </c>
      <c r="R853" s="306">
        <f t="shared" ca="1" si="397"/>
        <v>0</v>
      </c>
      <c r="S853" s="307">
        <f t="shared" ca="1" si="398"/>
        <v>7.4799999999999969</v>
      </c>
      <c r="T853" s="304">
        <f t="shared" ca="1" si="378"/>
        <v>73.37879999999997</v>
      </c>
      <c r="U853" s="311">
        <f t="shared" ca="1" si="379"/>
        <v>0</v>
      </c>
      <c r="V853" s="306">
        <f t="shared" ca="1" si="380"/>
        <v>1.2265073813240099</v>
      </c>
      <c r="W853" s="304">
        <f t="shared" ca="1" si="381"/>
        <v>58.000164225390627</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2.0140333600663824</v>
      </c>
      <c r="AH853" s="304">
        <f t="shared" ca="1" si="405"/>
        <v>-7.7539976415931742</v>
      </c>
    </row>
    <row r="854" spans="1:34" x14ac:dyDescent="0.2">
      <c r="A854" s="347">
        <f t="shared" ca="1" si="383"/>
        <v>1E-4</v>
      </c>
      <c r="B854" s="304">
        <f t="shared" ca="1" si="384"/>
        <v>34.732300000001295</v>
      </c>
      <c r="D854" s="306">
        <f t="shared" ca="1" si="385"/>
        <v>-0.71647980117566956</v>
      </c>
      <c r="E854" s="307">
        <f t="shared" ca="1" si="386"/>
        <v>-2.0891400065275745</v>
      </c>
      <c r="F854" s="304">
        <f t="shared" ca="1" si="387"/>
        <v>2.2085853554632568</v>
      </c>
      <c r="G854" s="306">
        <f t="shared" ca="1" si="388"/>
        <v>11.281192798095763</v>
      </c>
      <c r="H854" s="307">
        <f t="shared" ca="1" si="389"/>
        <v>-121.56827432849845</v>
      </c>
      <c r="I854" s="304">
        <f t="shared" ca="1" si="390"/>
        <v>122.09058372436779</v>
      </c>
      <c r="J854" s="306">
        <f t="shared" ca="1" si="391"/>
        <v>786.02923903053897</v>
      </c>
      <c r="K854" s="307">
        <f t="shared" ca="1" si="392"/>
        <v>-12.309744297189875</v>
      </c>
      <c r="L854" s="304">
        <f t="shared" ca="1" si="377"/>
        <v>786.12562254107354</v>
      </c>
      <c r="M854" s="306">
        <f t="shared" ca="1" si="393"/>
        <v>-1.4782641494991855</v>
      </c>
      <c r="N854" s="304">
        <f t="shared" ca="1" si="394"/>
        <v>-84.698296771799491</v>
      </c>
      <c r="P854" s="310">
        <f t="shared" ca="1" si="395"/>
        <v>23</v>
      </c>
      <c r="Q854" s="304">
        <f t="shared" ca="1" si="396"/>
        <v>0</v>
      </c>
      <c r="R854" s="306">
        <f t="shared" ca="1" si="397"/>
        <v>0</v>
      </c>
      <c r="S854" s="307">
        <f t="shared" ca="1" si="398"/>
        <v>7.4799999999999969</v>
      </c>
      <c r="T854" s="304">
        <f t="shared" ca="1" si="378"/>
        <v>73.37879999999997</v>
      </c>
      <c r="U854" s="311">
        <f t="shared" ca="1" si="379"/>
        <v>0</v>
      </c>
      <c r="V854" s="306">
        <f t="shared" ca="1" si="380"/>
        <v>1.2265088723680571</v>
      </c>
      <c r="W854" s="304">
        <f t="shared" ca="1" si="381"/>
        <v>58.000426089389855</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2.013999024205269</v>
      </c>
      <c r="AH854" s="304">
        <f t="shared" ca="1" si="405"/>
        <v>-7.7540326504532953</v>
      </c>
    </row>
    <row r="855" spans="1:34" x14ac:dyDescent="0.2">
      <c r="A855" s="347">
        <f t="shared" ca="1" si="383"/>
        <v>1E-4</v>
      </c>
      <c r="B855" s="304">
        <f t="shared" ca="1" si="384"/>
        <v>34.732400000001299</v>
      </c>
      <c r="D855" s="306">
        <f t="shared" ca="1" si="385"/>
        <v>-0.71647730367353846</v>
      </c>
      <c r="E855" s="307">
        <f t="shared" ca="1" si="386"/>
        <v>-2.0891046157964741</v>
      </c>
      <c r="F855" s="304">
        <f t="shared" ca="1" si="387"/>
        <v>2.2085510685563596</v>
      </c>
      <c r="G855" s="306">
        <f t="shared" ca="1" si="388"/>
        <v>11.281121150365395</v>
      </c>
      <c r="H855" s="307">
        <f t="shared" ca="1" si="389"/>
        <v>-121.56848323896003</v>
      </c>
      <c r="I855" s="304">
        <f t="shared" ca="1" si="390"/>
        <v>122.09078512087031</v>
      </c>
      <c r="J855" s="306">
        <f t="shared" ca="1" si="391"/>
        <v>786.02923903053897</v>
      </c>
      <c r="K855" s="307">
        <f t="shared" ca="1" si="392"/>
        <v>-12.321901135068247</v>
      </c>
      <c r="L855" s="304">
        <f t="shared" ca="1" si="377"/>
        <v>786.1258129959291</v>
      </c>
      <c r="M855" s="306">
        <f t="shared" ca="1" si="393"/>
        <v>-1.4782648919350998</v>
      </c>
      <c r="N855" s="304">
        <f t="shared" ca="1" si="394"/>
        <v>-84.698339310243952</v>
      </c>
      <c r="P855" s="310">
        <f t="shared" ca="1" si="395"/>
        <v>23</v>
      </c>
      <c r="Q855" s="304">
        <f t="shared" ca="1" si="396"/>
        <v>0</v>
      </c>
      <c r="R855" s="306">
        <f t="shared" ca="1" si="397"/>
        <v>0</v>
      </c>
      <c r="S855" s="307">
        <f t="shared" ca="1" si="398"/>
        <v>7.4799999999999969</v>
      </c>
      <c r="T855" s="304">
        <f t="shared" ca="1" si="378"/>
        <v>73.37879999999997</v>
      </c>
      <c r="U855" s="311">
        <f t="shared" ca="1" si="379"/>
        <v>0</v>
      </c>
      <c r="V855" s="306">
        <f t="shared" ca="1" si="380"/>
        <v>1.2265103634164807</v>
      </c>
      <c r="W855" s="304">
        <f t="shared" ca="1" si="381"/>
        <v>58.000687951114678</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2.0139646886363547</v>
      </c>
      <c r="AH855" s="304">
        <f t="shared" ca="1" si="405"/>
        <v>-7.7540676590093423</v>
      </c>
    </row>
    <row r="856" spans="1:34" x14ac:dyDescent="0.2">
      <c r="A856" s="347">
        <f t="shared" ca="1" si="383"/>
        <v>1E-4</v>
      </c>
      <c r="B856" s="304">
        <f t="shared" ca="1" si="384"/>
        <v>34.732500000001302</v>
      </c>
      <c r="D856" s="306">
        <f t="shared" ca="1" si="385"/>
        <v>-0.71647480614647552</v>
      </c>
      <c r="E856" s="307">
        <f t="shared" ca="1" si="386"/>
        <v>-2.0890692253727243</v>
      </c>
      <c r="F856" s="304">
        <f t="shared" ca="1" si="387"/>
        <v>2.2085167819697507</v>
      </c>
      <c r="G856" s="306">
        <f t="shared" ca="1" si="388"/>
        <v>11.28104950288478</v>
      </c>
      <c r="H856" s="307">
        <f t="shared" ca="1" si="389"/>
        <v>-121.56869214588257</v>
      </c>
      <c r="I856" s="304">
        <f t="shared" ca="1" si="390"/>
        <v>122.09098651393928</v>
      </c>
      <c r="J856" s="306">
        <f t="shared" ca="1" si="391"/>
        <v>786.02923903053897</v>
      </c>
      <c r="K856" s="307">
        <f t="shared" ca="1" si="392"/>
        <v>-12.334057993837488</v>
      </c>
      <c r="L856" s="304">
        <f t="shared" ca="1" si="377"/>
        <v>786.12600363906267</v>
      </c>
      <c r="M856" s="306">
        <f t="shared" ca="1" si="393"/>
        <v>-1.4782656343638498</v>
      </c>
      <c r="N856" s="304">
        <f t="shared" ca="1" si="394"/>
        <v>-84.698381848277904</v>
      </c>
      <c r="P856" s="310">
        <f t="shared" ca="1" si="395"/>
        <v>23</v>
      </c>
      <c r="Q856" s="304">
        <f t="shared" ca="1" si="396"/>
        <v>0</v>
      </c>
      <c r="R856" s="306">
        <f t="shared" ca="1" si="397"/>
        <v>0</v>
      </c>
      <c r="S856" s="307">
        <f t="shared" ca="1" si="398"/>
        <v>7.4799999999999969</v>
      </c>
      <c r="T856" s="304">
        <f t="shared" ca="1" si="378"/>
        <v>73.37879999999997</v>
      </c>
      <c r="U856" s="311">
        <f t="shared" ca="1" si="379"/>
        <v>0</v>
      </c>
      <c r="V856" s="306">
        <f t="shared" ca="1" si="380"/>
        <v>1.2265118544692803</v>
      </c>
      <c r="W856" s="304">
        <f t="shared" ca="1" si="381"/>
        <v>58.000949810565018</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2.0139303533596236</v>
      </c>
      <c r="AH856" s="304">
        <f t="shared" ca="1" si="405"/>
        <v>-7.754102667261324</v>
      </c>
    </row>
    <row r="857" spans="1:34" x14ac:dyDescent="0.2">
      <c r="A857" s="347">
        <f t="shared" ca="1" si="383"/>
        <v>1E-4</v>
      </c>
      <c r="B857" s="304">
        <f t="shared" ca="1" si="384"/>
        <v>34.732600000001305</v>
      </c>
      <c r="D857" s="306">
        <f t="shared" ca="1" si="385"/>
        <v>-0.71647230859447619</v>
      </c>
      <c r="E857" s="307">
        <f t="shared" ca="1" si="386"/>
        <v>-2.0890338352563358</v>
      </c>
      <c r="F857" s="304">
        <f t="shared" ca="1" si="387"/>
        <v>2.2084824957034397</v>
      </c>
      <c r="G857" s="306">
        <f t="shared" ca="1" si="388"/>
        <v>11.280977855653921</v>
      </c>
      <c r="H857" s="307">
        <f t="shared" ca="1" si="389"/>
        <v>-121.56890104926609</v>
      </c>
      <c r="I857" s="304">
        <f t="shared" ca="1" si="390"/>
        <v>122.09118790357478</v>
      </c>
      <c r="J857" s="306">
        <f t="shared" ca="1" si="391"/>
        <v>786.02923903053897</v>
      </c>
      <c r="K857" s="307">
        <f t="shared" ca="1" si="392"/>
        <v>-12.346214873497246</v>
      </c>
      <c r="L857" s="304">
        <f t="shared" ca="1" si="377"/>
        <v>786.12619447047484</v>
      </c>
      <c r="M857" s="306">
        <f t="shared" ca="1" si="393"/>
        <v>-1.4782663767854352</v>
      </c>
      <c r="N857" s="304">
        <f t="shared" ca="1" si="394"/>
        <v>-84.698424385901376</v>
      </c>
      <c r="P857" s="310">
        <f t="shared" ca="1" si="395"/>
        <v>23</v>
      </c>
      <c r="Q857" s="304">
        <f t="shared" ca="1" si="396"/>
        <v>0</v>
      </c>
      <c r="R857" s="306">
        <f t="shared" ca="1" si="397"/>
        <v>0</v>
      </c>
      <c r="S857" s="307">
        <f t="shared" ca="1" si="398"/>
        <v>7.4799999999999969</v>
      </c>
      <c r="T857" s="304">
        <f t="shared" ca="1" si="378"/>
        <v>73.37879999999997</v>
      </c>
      <c r="U857" s="311">
        <f t="shared" ca="1" si="379"/>
        <v>0</v>
      </c>
      <c r="V857" s="306">
        <f t="shared" ca="1" si="380"/>
        <v>1.2265133455264561</v>
      </c>
      <c r="W857" s="304">
        <f t="shared" ca="1" si="381"/>
        <v>58.001211667740932</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2.0138960183750916</v>
      </c>
      <c r="AH857" s="304">
        <f t="shared" ca="1" si="405"/>
        <v>-7.7541376752092299</v>
      </c>
    </row>
    <row r="858" spans="1:34" x14ac:dyDescent="0.2">
      <c r="A858" s="347">
        <f t="shared" ca="1" si="383"/>
        <v>1E-4</v>
      </c>
      <c r="B858" s="304">
        <f t="shared" ca="1" si="384"/>
        <v>34.732700000001309</v>
      </c>
      <c r="D858" s="306">
        <f t="shared" ca="1" si="385"/>
        <v>-0.71646981101754603</v>
      </c>
      <c r="E858" s="307">
        <f t="shared" ca="1" si="386"/>
        <v>-2.0889984454472987</v>
      </c>
      <c r="F858" s="304">
        <f t="shared" ca="1" si="387"/>
        <v>2.2084482097574192</v>
      </c>
      <c r="G858" s="306">
        <f t="shared" ca="1" si="388"/>
        <v>11.280906208672819</v>
      </c>
      <c r="H858" s="307">
        <f t="shared" ca="1" si="389"/>
        <v>-121.56910994911064</v>
      </c>
      <c r="I858" s="304">
        <f t="shared" ca="1" si="390"/>
        <v>122.0913892897768</v>
      </c>
      <c r="J858" s="306">
        <f t="shared" ca="1" si="391"/>
        <v>786.02923903053897</v>
      </c>
      <c r="K858" s="307">
        <f t="shared" ca="1" si="392"/>
        <v>-12.358371774047164</v>
      </c>
      <c r="L858" s="304">
        <f t="shared" ca="1" si="377"/>
        <v>786.1263854901664</v>
      </c>
      <c r="M858" s="306">
        <f t="shared" ca="1" si="393"/>
        <v>-1.478267119199856</v>
      </c>
      <c r="N858" s="304">
        <f t="shared" ca="1" si="394"/>
        <v>-84.698466923114339</v>
      </c>
      <c r="P858" s="310">
        <f t="shared" ca="1" si="395"/>
        <v>23</v>
      </c>
      <c r="Q858" s="304">
        <f t="shared" ca="1" si="396"/>
        <v>0</v>
      </c>
      <c r="R858" s="306">
        <f t="shared" ca="1" si="397"/>
        <v>0</v>
      </c>
      <c r="S858" s="307">
        <f t="shared" ca="1" si="398"/>
        <v>7.4799999999999969</v>
      </c>
      <c r="T858" s="304">
        <f t="shared" ca="1" si="378"/>
        <v>73.37879999999997</v>
      </c>
      <c r="U858" s="311">
        <f t="shared" ca="1" si="379"/>
        <v>0</v>
      </c>
      <c r="V858" s="306">
        <f t="shared" ca="1" si="380"/>
        <v>1.2265148365880074</v>
      </c>
      <c r="W858" s="304">
        <f t="shared" ca="1" si="381"/>
        <v>58.001473522642378</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2.0138616836827463</v>
      </c>
      <c r="AH858" s="304">
        <f t="shared" ca="1" si="405"/>
        <v>-7.7541726828530688</v>
      </c>
    </row>
    <row r="859" spans="1:34" x14ac:dyDescent="0.2">
      <c r="A859" s="347">
        <f t="shared" ca="1" si="383"/>
        <v>1E-4</v>
      </c>
      <c r="B859" s="304">
        <f t="shared" ca="1" si="384"/>
        <v>34.732800000001312</v>
      </c>
      <c r="D859" s="306">
        <f t="shared" ca="1" si="385"/>
        <v>-0.71646731341568426</v>
      </c>
      <c r="E859" s="307">
        <f t="shared" ca="1" si="386"/>
        <v>-2.0889630559456203</v>
      </c>
      <c r="F859" s="304">
        <f t="shared" ca="1" si="387"/>
        <v>2.2084139241316953</v>
      </c>
      <c r="G859" s="306">
        <f t="shared" ca="1" si="388"/>
        <v>11.280834561941477</v>
      </c>
      <c r="H859" s="307">
        <f t="shared" ca="1" si="389"/>
        <v>-121.56931884541623</v>
      </c>
      <c r="I859" s="304">
        <f t="shared" ca="1" si="390"/>
        <v>122.09159067254538</v>
      </c>
      <c r="J859" s="306">
        <f t="shared" ca="1" si="391"/>
        <v>786.02923903053897</v>
      </c>
      <c r="K859" s="307">
        <f t="shared" ca="1" si="392"/>
        <v>-12.37052869548689</v>
      </c>
      <c r="L859" s="304">
        <f t="shared" ca="1" si="377"/>
        <v>786.12657669813836</v>
      </c>
      <c r="M859" s="306">
        <f t="shared" ca="1" si="393"/>
        <v>-1.4782678616071125</v>
      </c>
      <c r="N859" s="304">
        <f t="shared" ca="1" si="394"/>
        <v>-84.698509459916806</v>
      </c>
      <c r="P859" s="310">
        <f t="shared" ca="1" si="395"/>
        <v>23</v>
      </c>
      <c r="Q859" s="304">
        <f t="shared" ca="1" si="396"/>
        <v>0</v>
      </c>
      <c r="R859" s="306">
        <f t="shared" ca="1" si="397"/>
        <v>0</v>
      </c>
      <c r="S859" s="307">
        <f t="shared" ca="1" si="398"/>
        <v>7.4799999999999969</v>
      </c>
      <c r="T859" s="304">
        <f t="shared" ca="1" si="378"/>
        <v>73.37879999999997</v>
      </c>
      <c r="U859" s="311">
        <f t="shared" ca="1" si="379"/>
        <v>0</v>
      </c>
      <c r="V859" s="306">
        <f t="shared" ca="1" si="380"/>
        <v>1.226516327653935</v>
      </c>
      <c r="W859" s="304">
        <f t="shared" ca="1" si="381"/>
        <v>58.001735375269384</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2.0138273492825993</v>
      </c>
      <c r="AH859" s="304">
        <f t="shared" ca="1" si="405"/>
        <v>-7.7542076901928345</v>
      </c>
    </row>
    <row r="860" spans="1:34" x14ac:dyDescent="0.2">
      <c r="A860" s="347">
        <f t="shared" ca="1" si="383"/>
        <v>1E-4</v>
      </c>
      <c r="B860" s="304">
        <f t="shared" ca="1" si="384"/>
        <v>34.732900000001315</v>
      </c>
      <c r="D860" s="306">
        <f t="shared" ca="1" si="385"/>
        <v>-0.71646481578889099</v>
      </c>
      <c r="E860" s="307">
        <f t="shared" ca="1" si="386"/>
        <v>-2.0889276667512968</v>
      </c>
      <c r="F860" s="304">
        <f t="shared" ca="1" si="387"/>
        <v>2.2083796388262655</v>
      </c>
      <c r="G860" s="306">
        <f t="shared" ca="1" si="388"/>
        <v>11.280762915459897</v>
      </c>
      <c r="H860" s="307">
        <f t="shared" ca="1" si="389"/>
        <v>-121.56952773818291</v>
      </c>
      <c r="I860" s="304">
        <f t="shared" ca="1" si="390"/>
        <v>122.09179205188055</v>
      </c>
      <c r="J860" s="306">
        <f t="shared" ca="1" si="391"/>
        <v>786.02923903053897</v>
      </c>
      <c r="K860" s="307">
        <f t="shared" ca="1" si="392"/>
        <v>-12.382685637816069</v>
      </c>
      <c r="L860" s="304">
        <f t="shared" ca="1" si="377"/>
        <v>786.12676809439154</v>
      </c>
      <c r="M860" s="306">
        <f t="shared" ca="1" si="393"/>
        <v>-1.4782686040072048</v>
      </c>
      <c r="N860" s="304">
        <f t="shared" ca="1" si="394"/>
        <v>-84.698551996308808</v>
      </c>
      <c r="P860" s="310">
        <f t="shared" ca="1" si="395"/>
        <v>23</v>
      </c>
      <c r="Q860" s="304">
        <f t="shared" ca="1" si="396"/>
        <v>0</v>
      </c>
      <c r="R860" s="306">
        <f t="shared" ca="1" si="397"/>
        <v>0</v>
      </c>
      <c r="S860" s="307">
        <f t="shared" ca="1" si="398"/>
        <v>7.4799999999999969</v>
      </c>
      <c r="T860" s="304">
        <f t="shared" ca="1" si="378"/>
        <v>73.37879999999997</v>
      </c>
      <c r="U860" s="311">
        <f t="shared" ca="1" si="379"/>
        <v>0</v>
      </c>
      <c r="V860" s="306">
        <f t="shared" ca="1" si="380"/>
        <v>1.2265178187242383</v>
      </c>
      <c r="W860" s="304">
        <f t="shared" ca="1" si="381"/>
        <v>58.001997225621928</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2.0137930151746417</v>
      </c>
      <c r="AH860" s="304">
        <f t="shared" ca="1" si="405"/>
        <v>-7.7542426972285305</v>
      </c>
    </row>
    <row r="861" spans="1:34" x14ac:dyDescent="0.2">
      <c r="A861" s="347">
        <f t="shared" ca="1" si="383"/>
        <v>1E-4</v>
      </c>
      <c r="B861" s="304">
        <f t="shared" ca="1" si="384"/>
        <v>34.733000000001319</v>
      </c>
      <c r="D861" s="306">
        <f t="shared" ca="1" si="385"/>
        <v>-0.71646231813716721</v>
      </c>
      <c r="E861" s="307">
        <f t="shared" ca="1" si="386"/>
        <v>-2.0888922778643302</v>
      </c>
      <c r="F861" s="304">
        <f t="shared" ca="1" si="387"/>
        <v>2.208345353841132</v>
      </c>
      <c r="G861" s="306">
        <f t="shared" ca="1" si="388"/>
        <v>11.280691269228084</v>
      </c>
      <c r="H861" s="307">
        <f t="shared" ca="1" si="389"/>
        <v>-121.56973662741071</v>
      </c>
      <c r="I861" s="304">
        <f t="shared" ca="1" si="390"/>
        <v>122.09199342778233</v>
      </c>
      <c r="J861" s="306">
        <f t="shared" ca="1" si="391"/>
        <v>786.02923903053897</v>
      </c>
      <c r="K861" s="307">
        <f t="shared" ca="1" si="392"/>
        <v>-12.394842601034348</v>
      </c>
      <c r="L861" s="304">
        <f t="shared" ca="1" si="377"/>
        <v>786.1269596789266</v>
      </c>
      <c r="M861" s="306">
        <f t="shared" ca="1" si="393"/>
        <v>-1.4782693464001331</v>
      </c>
      <c r="N861" s="304">
        <f t="shared" ca="1" si="394"/>
        <v>-84.698594532290343</v>
      </c>
      <c r="P861" s="310">
        <f t="shared" ca="1" si="395"/>
        <v>23</v>
      </c>
      <c r="Q861" s="304">
        <f t="shared" ca="1" si="396"/>
        <v>0</v>
      </c>
      <c r="R861" s="306">
        <f t="shared" ca="1" si="397"/>
        <v>0</v>
      </c>
      <c r="S861" s="307">
        <f t="shared" ca="1" si="398"/>
        <v>7.4799999999999969</v>
      </c>
      <c r="T861" s="304">
        <f t="shared" ca="1" si="378"/>
        <v>73.37879999999997</v>
      </c>
      <c r="U861" s="311">
        <f t="shared" ca="1" si="379"/>
        <v>0</v>
      </c>
      <c r="V861" s="306">
        <f t="shared" ca="1" si="380"/>
        <v>1.226519309798918</v>
      </c>
      <c r="W861" s="304">
        <f t="shared" ca="1" si="381"/>
        <v>58.002259073700053</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2.0137586813588797</v>
      </c>
      <c r="AH861" s="304">
        <f t="shared" ca="1" si="405"/>
        <v>-7.7542777039601543</v>
      </c>
    </row>
    <row r="862" spans="1:34" x14ac:dyDescent="0.2">
      <c r="A862" s="347">
        <f t="shared" ca="1" si="383"/>
        <v>1E-4</v>
      </c>
      <c r="B862" s="304">
        <f t="shared" ca="1" si="384"/>
        <v>34.733100000001322</v>
      </c>
      <c r="D862" s="306">
        <f t="shared" ca="1" si="385"/>
        <v>-0.71645982046051326</v>
      </c>
      <c r="E862" s="307">
        <f t="shared" ca="1" si="386"/>
        <v>-2.0888568892847168</v>
      </c>
      <c r="F862" s="304">
        <f t="shared" ca="1" si="387"/>
        <v>2.2083110691762911</v>
      </c>
      <c r="G862" s="306">
        <f t="shared" ca="1" si="388"/>
        <v>11.280619623246038</v>
      </c>
      <c r="H862" s="307">
        <f t="shared" ca="1" si="389"/>
        <v>-121.56994551309964</v>
      </c>
      <c r="I862" s="304">
        <f t="shared" ca="1" si="390"/>
        <v>122.09219480025077</v>
      </c>
      <c r="J862" s="306">
        <f t="shared" ca="1" si="391"/>
        <v>786.02923903053897</v>
      </c>
      <c r="K862" s="307">
        <f t="shared" ca="1" si="392"/>
        <v>-12.406999585141374</v>
      </c>
      <c r="L862" s="304">
        <f t="shared" ca="1" si="377"/>
        <v>786.12715145174445</v>
      </c>
      <c r="M862" s="306">
        <f t="shared" ca="1" si="393"/>
        <v>-1.4782700887858975</v>
      </c>
      <c r="N862" s="304">
        <f t="shared" ca="1" si="394"/>
        <v>-84.698637067861412</v>
      </c>
      <c r="P862" s="310">
        <f t="shared" ca="1" si="395"/>
        <v>23</v>
      </c>
      <c r="Q862" s="304">
        <f t="shared" ca="1" si="396"/>
        <v>0</v>
      </c>
      <c r="R862" s="306">
        <f t="shared" ca="1" si="397"/>
        <v>0</v>
      </c>
      <c r="S862" s="307">
        <f t="shared" ca="1" si="398"/>
        <v>7.4799999999999969</v>
      </c>
      <c r="T862" s="304">
        <f t="shared" ca="1" si="378"/>
        <v>73.37879999999997</v>
      </c>
      <c r="U862" s="311">
        <f t="shared" ca="1" si="379"/>
        <v>0</v>
      </c>
      <c r="V862" s="306">
        <f t="shared" ca="1" si="380"/>
        <v>1.2265208008779731</v>
      </c>
      <c r="W862" s="304">
        <f t="shared" ca="1" si="381"/>
        <v>58.002520919503702</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2.0137243478353062</v>
      </c>
      <c r="AH862" s="304">
        <f t="shared" ca="1" si="405"/>
        <v>-7.754312710387711</v>
      </c>
    </row>
    <row r="863" spans="1:34" x14ac:dyDescent="0.2">
      <c r="A863" s="347">
        <f t="shared" ca="1" si="383"/>
        <v>1E-4</v>
      </c>
      <c r="B863" s="304">
        <f t="shared" ca="1" si="384"/>
        <v>34.733200000001325</v>
      </c>
      <c r="D863" s="306">
        <f t="shared" ca="1" si="385"/>
        <v>-0.71645732275892826</v>
      </c>
      <c r="E863" s="307">
        <f t="shared" ca="1" si="386"/>
        <v>-2.0888215010124611</v>
      </c>
      <c r="F863" s="304">
        <f t="shared" ca="1" si="387"/>
        <v>2.2082767848317477</v>
      </c>
      <c r="G863" s="306">
        <f t="shared" ca="1" si="388"/>
        <v>11.280547977513761</v>
      </c>
      <c r="H863" s="307">
        <f t="shared" ca="1" si="389"/>
        <v>-121.57015439524974</v>
      </c>
      <c r="I863" s="304">
        <f t="shared" ca="1" si="390"/>
        <v>122.09239616928586</v>
      </c>
      <c r="J863" s="306">
        <f t="shared" ca="1" si="391"/>
        <v>786.02923903053897</v>
      </c>
      <c r="K863" s="307">
        <f t="shared" ca="1" si="392"/>
        <v>-12.419156590136792</v>
      </c>
      <c r="L863" s="304">
        <f t="shared" ca="1" si="377"/>
        <v>786.1273434128459</v>
      </c>
      <c r="M863" s="306">
        <f t="shared" ca="1" si="393"/>
        <v>-1.4782708311644979</v>
      </c>
      <c r="N863" s="304">
        <f t="shared" ca="1" si="394"/>
        <v>-84.698679603022015</v>
      </c>
      <c r="P863" s="310">
        <f t="shared" ca="1" si="395"/>
        <v>23</v>
      </c>
      <c r="Q863" s="304">
        <f t="shared" ca="1" si="396"/>
        <v>0</v>
      </c>
      <c r="R863" s="306">
        <f t="shared" ca="1" si="397"/>
        <v>0</v>
      </c>
      <c r="S863" s="307">
        <f t="shared" ca="1" si="398"/>
        <v>7.4799999999999969</v>
      </c>
      <c r="T863" s="304">
        <f t="shared" ca="1" si="378"/>
        <v>73.37879999999997</v>
      </c>
      <c r="U863" s="311">
        <f t="shared" ca="1" si="379"/>
        <v>0</v>
      </c>
      <c r="V863" s="306">
        <f t="shared" ca="1" si="380"/>
        <v>1.2265222919614043</v>
      </c>
      <c r="W863" s="304">
        <f t="shared" ca="1" si="381"/>
        <v>58.002782763032918</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2.0136900146039318</v>
      </c>
      <c r="AH863" s="304">
        <f t="shared" ca="1" si="405"/>
        <v>-7.7543477165111936</v>
      </c>
    </row>
    <row r="864" spans="1:34" x14ac:dyDescent="0.2">
      <c r="A864" s="347">
        <f t="shared" ca="1" si="383"/>
        <v>1E-4</v>
      </c>
      <c r="B864" s="304">
        <f t="shared" ca="1" si="384"/>
        <v>34.733300000001329</v>
      </c>
      <c r="D864" s="306">
        <f t="shared" ca="1" si="385"/>
        <v>-0.71645482503241564</v>
      </c>
      <c r="E864" s="307">
        <f t="shared" ca="1" si="386"/>
        <v>-2.0887861130475605</v>
      </c>
      <c r="F864" s="304">
        <f t="shared" ca="1" si="387"/>
        <v>2.2082425008075011</v>
      </c>
      <c r="G864" s="306">
        <f t="shared" ca="1" si="388"/>
        <v>11.280476332031258</v>
      </c>
      <c r="H864" s="307">
        <f t="shared" ca="1" si="389"/>
        <v>-121.57036327386105</v>
      </c>
      <c r="I864" s="304">
        <f t="shared" ca="1" si="390"/>
        <v>122.09259753488769</v>
      </c>
      <c r="J864" s="306">
        <f t="shared" ca="1" si="391"/>
        <v>786.02923903053897</v>
      </c>
      <c r="K864" s="307">
        <f t="shared" ca="1" si="392"/>
        <v>-12.431313616020248</v>
      </c>
      <c r="L864" s="304">
        <f t="shared" ca="1" si="377"/>
        <v>786.12753556223186</v>
      </c>
      <c r="M864" s="306">
        <f t="shared" ca="1" si="393"/>
        <v>-1.4782715735359342</v>
      </c>
      <c r="N864" s="304">
        <f t="shared" ca="1" si="394"/>
        <v>-84.698722137772151</v>
      </c>
      <c r="P864" s="310">
        <f t="shared" ca="1" si="395"/>
        <v>23</v>
      </c>
      <c r="Q864" s="304">
        <f t="shared" ca="1" si="396"/>
        <v>0</v>
      </c>
      <c r="R864" s="306">
        <f t="shared" ca="1" si="397"/>
        <v>0</v>
      </c>
      <c r="S864" s="307">
        <f t="shared" ca="1" si="398"/>
        <v>7.4799999999999969</v>
      </c>
      <c r="T864" s="304">
        <f t="shared" ca="1" si="378"/>
        <v>73.37879999999997</v>
      </c>
      <c r="U864" s="311">
        <f t="shared" ca="1" si="379"/>
        <v>0</v>
      </c>
      <c r="V864" s="306">
        <f t="shared" ca="1" si="380"/>
        <v>1.2265237830492108</v>
      </c>
      <c r="W864" s="304">
        <f t="shared" ca="1" si="381"/>
        <v>58.003044604287702</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2.0136556816647495</v>
      </c>
      <c r="AH864" s="304">
        <f t="shared" ca="1" si="405"/>
        <v>-7.7543827223306074</v>
      </c>
    </row>
    <row r="865" spans="1:34" x14ac:dyDescent="0.2">
      <c r="A865" s="347">
        <f t="shared" ca="1" si="383"/>
        <v>1E-4</v>
      </c>
      <c r="B865" s="304">
        <f t="shared" ca="1" si="384"/>
        <v>34.733400000001332</v>
      </c>
      <c r="D865" s="306">
        <f t="shared" ca="1" si="385"/>
        <v>-0.71645232728097719</v>
      </c>
      <c r="E865" s="307">
        <f t="shared" ca="1" si="386"/>
        <v>-2.0887507253900131</v>
      </c>
      <c r="F865" s="304">
        <f t="shared" ca="1" si="387"/>
        <v>2.2082082171035489</v>
      </c>
      <c r="G865" s="306">
        <f t="shared" ca="1" si="388"/>
        <v>11.28040468679853</v>
      </c>
      <c r="H865" s="307">
        <f t="shared" ca="1" si="389"/>
        <v>-121.57057214893359</v>
      </c>
      <c r="I865" s="304">
        <f t="shared" ca="1" si="390"/>
        <v>122.09279889705623</v>
      </c>
      <c r="J865" s="306">
        <f t="shared" ca="1" si="391"/>
        <v>786.02923903053897</v>
      </c>
      <c r="K865" s="307">
        <f t="shared" ca="1" si="392"/>
        <v>-12.443470662791388</v>
      </c>
      <c r="L865" s="304">
        <f t="shared" ca="1" si="377"/>
        <v>786.12772789990299</v>
      </c>
      <c r="M865" s="306">
        <f t="shared" ca="1" si="393"/>
        <v>-1.4782723159002071</v>
      </c>
      <c r="N865" s="304">
        <f t="shared" ca="1" si="394"/>
        <v>-84.698764672111849</v>
      </c>
      <c r="P865" s="310">
        <f t="shared" ca="1" si="395"/>
        <v>23</v>
      </c>
      <c r="Q865" s="304">
        <f t="shared" ca="1" si="396"/>
        <v>0</v>
      </c>
      <c r="R865" s="306">
        <f t="shared" ca="1" si="397"/>
        <v>0</v>
      </c>
      <c r="S865" s="307">
        <f t="shared" ca="1" si="398"/>
        <v>7.4799999999999969</v>
      </c>
      <c r="T865" s="304">
        <f t="shared" ca="1" si="378"/>
        <v>73.37879999999997</v>
      </c>
      <c r="U865" s="311">
        <f t="shared" ca="1" si="379"/>
        <v>0</v>
      </c>
      <c r="V865" s="306">
        <f t="shared" ca="1" si="380"/>
        <v>1.2265252741413937</v>
      </c>
      <c r="W865" s="304">
        <f t="shared" ca="1" si="381"/>
        <v>58.003306443268038</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2.0136213490177592</v>
      </c>
      <c r="AH865" s="304">
        <f t="shared" ca="1" si="405"/>
        <v>-7.7544177278459525</v>
      </c>
    </row>
    <row r="866" spans="1:34" x14ac:dyDescent="0.2">
      <c r="A866" s="347">
        <f t="shared" ca="1" si="383"/>
        <v>1E-4</v>
      </c>
      <c r="B866" s="304">
        <f t="shared" ca="1" si="384"/>
        <v>34.733500000001335</v>
      </c>
      <c r="D866" s="306">
        <f t="shared" ca="1" si="385"/>
        <v>-0.71644982950460867</v>
      </c>
      <c r="E866" s="307">
        <f t="shared" ca="1" si="386"/>
        <v>-2.0887153380398207</v>
      </c>
      <c r="F866" s="304">
        <f t="shared" ca="1" si="387"/>
        <v>2.2081739337198929</v>
      </c>
      <c r="G866" s="306">
        <f t="shared" ca="1" si="388"/>
        <v>11.280333041815579</v>
      </c>
      <c r="H866" s="307">
        <f t="shared" ca="1" si="389"/>
        <v>-121.57078102046739</v>
      </c>
      <c r="I866" s="304">
        <f t="shared" ca="1" si="390"/>
        <v>122.09300025579154</v>
      </c>
      <c r="J866" s="306">
        <f t="shared" ca="1" si="391"/>
        <v>786.02923903053897</v>
      </c>
      <c r="K866" s="307">
        <f t="shared" ca="1" si="392"/>
        <v>-12.455627730449857</v>
      </c>
      <c r="L866" s="304">
        <f t="shared" ca="1" si="377"/>
        <v>786.12792042586034</v>
      </c>
      <c r="M866" s="306">
        <f t="shared" ca="1" si="393"/>
        <v>-1.4782730582573163</v>
      </c>
      <c r="N866" s="304">
        <f t="shared" ca="1" si="394"/>
        <v>-84.698807206041096</v>
      </c>
      <c r="P866" s="310">
        <f t="shared" ca="1" si="395"/>
        <v>23</v>
      </c>
      <c r="Q866" s="304">
        <f t="shared" ca="1" si="396"/>
        <v>0</v>
      </c>
      <c r="R866" s="306">
        <f t="shared" ca="1" si="397"/>
        <v>0</v>
      </c>
      <c r="S866" s="307">
        <f t="shared" ca="1" si="398"/>
        <v>7.4799999999999969</v>
      </c>
      <c r="T866" s="304">
        <f t="shared" ca="1" si="378"/>
        <v>73.37879999999997</v>
      </c>
      <c r="U866" s="311">
        <f t="shared" ca="1" si="379"/>
        <v>0</v>
      </c>
      <c r="V866" s="306">
        <f t="shared" ca="1" si="380"/>
        <v>1.2265267652379521</v>
      </c>
      <c r="W866" s="304">
        <f t="shared" ca="1" si="381"/>
        <v>58.00356827997394</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2.0135870166629619</v>
      </c>
      <c r="AH866" s="304">
        <f t="shared" ca="1" si="405"/>
        <v>-7.7544527330572279</v>
      </c>
    </row>
    <row r="867" spans="1:34" x14ac:dyDescent="0.2">
      <c r="A867" s="347">
        <f t="shared" ca="1" si="383"/>
        <v>1E-4</v>
      </c>
      <c r="B867" s="304">
        <f t="shared" ca="1" si="384"/>
        <v>34.733600000001339</v>
      </c>
      <c r="D867" s="306">
        <f t="shared" ca="1" si="385"/>
        <v>-0.71644733170331543</v>
      </c>
      <c r="E867" s="307">
        <f t="shared" ca="1" si="386"/>
        <v>-2.0886799509969833</v>
      </c>
      <c r="F867" s="304">
        <f t="shared" ca="1" si="387"/>
        <v>2.2081396506565345</v>
      </c>
      <c r="G867" s="306">
        <f t="shared" ca="1" si="388"/>
        <v>11.280261397082409</v>
      </c>
      <c r="H867" s="307">
        <f t="shared" ca="1" si="389"/>
        <v>-121.57098988846249</v>
      </c>
      <c r="I867" s="304">
        <f t="shared" ca="1" si="390"/>
        <v>122.09320161109363</v>
      </c>
      <c r="J867" s="306">
        <f t="shared" ca="1" si="391"/>
        <v>786.02923903053897</v>
      </c>
      <c r="K867" s="307">
        <f t="shared" ca="1" si="392"/>
        <v>-12.467784818995304</v>
      </c>
      <c r="L867" s="304">
        <f t="shared" ca="1" si="377"/>
        <v>786.12811314010446</v>
      </c>
      <c r="M867" s="306">
        <f t="shared" ca="1" si="393"/>
        <v>-1.478273800607262</v>
      </c>
      <c r="N867" s="304">
        <f t="shared" ca="1" si="394"/>
        <v>-84.698849739559904</v>
      </c>
      <c r="P867" s="310">
        <f t="shared" ca="1" si="395"/>
        <v>23</v>
      </c>
      <c r="Q867" s="304">
        <f t="shared" ca="1" si="396"/>
        <v>0</v>
      </c>
      <c r="R867" s="306">
        <f t="shared" ca="1" si="397"/>
        <v>0</v>
      </c>
      <c r="S867" s="307">
        <f t="shared" ca="1" si="398"/>
        <v>7.4799999999999969</v>
      </c>
      <c r="T867" s="304">
        <f t="shared" ca="1" si="378"/>
        <v>73.37879999999997</v>
      </c>
      <c r="U867" s="311">
        <f t="shared" ca="1" si="379"/>
        <v>0</v>
      </c>
      <c r="V867" s="306">
        <f t="shared" ca="1" si="380"/>
        <v>1.2265282563388862</v>
      </c>
      <c r="W867" s="304">
        <f t="shared" ca="1" si="381"/>
        <v>58.003830114405389</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2.0135526846003575</v>
      </c>
      <c r="AH867" s="304">
        <f t="shared" ca="1" si="405"/>
        <v>-7.7544877379644337</v>
      </c>
    </row>
    <row r="868" spans="1:34" x14ac:dyDescent="0.2">
      <c r="A868" s="347">
        <f t="shared" ca="1" si="383"/>
        <v>1E-4</v>
      </c>
      <c r="B868" s="304">
        <f t="shared" ca="1" si="384"/>
        <v>34.733700000001342</v>
      </c>
      <c r="D868" s="306">
        <f t="shared" ca="1" si="385"/>
        <v>-0.71644483387709501</v>
      </c>
      <c r="E868" s="307">
        <f t="shared" ca="1" si="386"/>
        <v>-2.088644564261501</v>
      </c>
      <c r="F868" s="304">
        <f t="shared" ca="1" si="387"/>
        <v>2.2081053679134728</v>
      </c>
      <c r="G868" s="306">
        <f t="shared" ca="1" si="388"/>
        <v>11.280189752599021</v>
      </c>
      <c r="H868" s="307">
        <f t="shared" ca="1" si="389"/>
        <v>-121.57119875291892</v>
      </c>
      <c r="I868" s="304">
        <f t="shared" ca="1" si="390"/>
        <v>122.09340296296256</v>
      </c>
      <c r="J868" s="306">
        <f t="shared" ca="1" si="391"/>
        <v>786.02923903053897</v>
      </c>
      <c r="K868" s="307">
        <f t="shared" ca="1" si="392"/>
        <v>-12.479941928427372</v>
      </c>
      <c r="L868" s="304">
        <f t="shared" ca="1" si="377"/>
        <v>786.1283060426365</v>
      </c>
      <c r="M868" s="306">
        <f t="shared" ca="1" si="393"/>
        <v>-1.4782745429500443</v>
      </c>
      <c r="N868" s="304">
        <f t="shared" ca="1" si="394"/>
        <v>-84.698892272668289</v>
      </c>
      <c r="P868" s="310">
        <f t="shared" ca="1" si="395"/>
        <v>23</v>
      </c>
      <c r="Q868" s="304">
        <f t="shared" ca="1" si="396"/>
        <v>0</v>
      </c>
      <c r="R868" s="306">
        <f t="shared" ca="1" si="397"/>
        <v>0</v>
      </c>
      <c r="S868" s="307">
        <f t="shared" ca="1" si="398"/>
        <v>7.4799999999999969</v>
      </c>
      <c r="T868" s="304">
        <f t="shared" ca="1" si="378"/>
        <v>73.37879999999997</v>
      </c>
      <c r="U868" s="311">
        <f t="shared" ca="1" si="379"/>
        <v>0</v>
      </c>
      <c r="V868" s="306">
        <f t="shared" ca="1" si="380"/>
        <v>1.2265297474441961</v>
      </c>
      <c r="W868" s="304">
        <f t="shared" ca="1" si="381"/>
        <v>58.004091946562426</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2.0135183528299487</v>
      </c>
      <c r="AH868" s="304">
        <f t="shared" ca="1" si="405"/>
        <v>-7.7545227425675689</v>
      </c>
    </row>
    <row r="869" spans="1:34" x14ac:dyDescent="0.2">
      <c r="A869" s="347">
        <f t="shared" ca="1" si="383"/>
        <v>1E-4</v>
      </c>
      <c r="B869" s="304">
        <f t="shared" ca="1" si="384"/>
        <v>34.733800000001345</v>
      </c>
      <c r="D869" s="306">
        <f t="shared" ca="1" si="385"/>
        <v>-0.71644233602594931</v>
      </c>
      <c r="E869" s="307">
        <f t="shared" ca="1" si="386"/>
        <v>-2.0886091778333702</v>
      </c>
      <c r="F869" s="304">
        <f t="shared" ca="1" si="387"/>
        <v>2.2080710854907064</v>
      </c>
      <c r="G869" s="306">
        <f t="shared" ca="1" si="388"/>
        <v>11.28011810836542</v>
      </c>
      <c r="H869" s="307">
        <f t="shared" ca="1" si="389"/>
        <v>-121.5714076138367</v>
      </c>
      <c r="I869" s="304">
        <f t="shared" ca="1" si="390"/>
        <v>122.09360431139832</v>
      </c>
      <c r="J869" s="306">
        <f t="shared" ca="1" si="391"/>
        <v>786.02923903053897</v>
      </c>
      <c r="K869" s="307">
        <f t="shared" ca="1" si="392"/>
        <v>-12.49209905874571</v>
      </c>
      <c r="L869" s="304">
        <f t="shared" ca="1" si="377"/>
        <v>786.12849913345701</v>
      </c>
      <c r="M869" s="306">
        <f t="shared" ca="1" si="393"/>
        <v>-1.4782752852856633</v>
      </c>
      <c r="N869" s="304">
        <f t="shared" ca="1" si="394"/>
        <v>-84.698934805366235</v>
      </c>
      <c r="P869" s="310">
        <f t="shared" ca="1" si="395"/>
        <v>23</v>
      </c>
      <c r="Q869" s="304">
        <f t="shared" ca="1" si="396"/>
        <v>0</v>
      </c>
      <c r="R869" s="306">
        <f t="shared" ca="1" si="397"/>
        <v>0</v>
      </c>
      <c r="S869" s="307">
        <f t="shared" ca="1" si="398"/>
        <v>7.4799999999999969</v>
      </c>
      <c r="T869" s="304">
        <f t="shared" ca="1" si="378"/>
        <v>73.37879999999997</v>
      </c>
      <c r="U869" s="311">
        <f t="shared" ca="1" si="379"/>
        <v>0</v>
      </c>
      <c r="V869" s="306">
        <f t="shared" ca="1" si="380"/>
        <v>1.2265312385538814</v>
      </c>
      <c r="W869" s="304">
        <f t="shared" ca="1" si="381"/>
        <v>58.004353776444987</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2.0134840213517311</v>
      </c>
      <c r="AH869" s="304">
        <f t="shared" ca="1" si="405"/>
        <v>-7.754557746866638</v>
      </c>
    </row>
    <row r="870" spans="1:34" x14ac:dyDescent="0.2">
      <c r="A870" s="347">
        <f t="shared" ca="1" si="383"/>
        <v>1E-4</v>
      </c>
      <c r="B870" s="304">
        <f t="shared" ca="1" si="384"/>
        <v>34.733900000001348</v>
      </c>
      <c r="D870" s="306">
        <f t="shared" ca="1" si="385"/>
        <v>-0.71643983814987899</v>
      </c>
      <c r="E870" s="307">
        <f t="shared" ca="1" si="386"/>
        <v>-2.0885737917125997</v>
      </c>
      <c r="F870" s="304">
        <f t="shared" ca="1" si="387"/>
        <v>2.2080368033882434</v>
      </c>
      <c r="G870" s="306">
        <f t="shared" ca="1" si="388"/>
        <v>11.280046464381604</v>
      </c>
      <c r="H870" s="307">
        <f t="shared" ca="1" si="389"/>
        <v>-121.57161647121588</v>
      </c>
      <c r="I870" s="304">
        <f t="shared" ca="1" si="390"/>
        <v>122.09380565640099</v>
      </c>
      <c r="J870" s="306">
        <f t="shared" ca="1" si="391"/>
        <v>786.02923903053897</v>
      </c>
      <c r="K870" s="307">
        <f t="shared" ca="1" si="392"/>
        <v>-12.504256209949963</v>
      </c>
      <c r="L870" s="304">
        <f t="shared" ca="1" si="377"/>
        <v>786.12869241256692</v>
      </c>
      <c r="M870" s="306">
        <f t="shared" ca="1" si="393"/>
        <v>-1.4782760276141191</v>
      </c>
      <c r="N870" s="304">
        <f t="shared" ca="1" si="394"/>
        <v>-84.698977337653758</v>
      </c>
      <c r="P870" s="310">
        <f t="shared" ca="1" si="395"/>
        <v>23</v>
      </c>
      <c r="Q870" s="304">
        <f t="shared" ca="1" si="396"/>
        <v>0</v>
      </c>
      <c r="R870" s="306">
        <f t="shared" ca="1" si="397"/>
        <v>0</v>
      </c>
      <c r="S870" s="307">
        <f t="shared" ca="1" si="398"/>
        <v>7.4799999999999969</v>
      </c>
      <c r="T870" s="304">
        <f t="shared" ca="1" si="378"/>
        <v>73.37879999999997</v>
      </c>
      <c r="U870" s="311">
        <f t="shared" ca="1" si="379"/>
        <v>0</v>
      </c>
      <c r="V870" s="306">
        <f t="shared" ca="1" si="380"/>
        <v>1.2265327296679425</v>
      </c>
      <c r="W870" s="304">
        <f t="shared" ca="1" si="381"/>
        <v>58.004615604053157</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2.01344969016571</v>
      </c>
      <c r="AH870" s="304">
        <f t="shared" ca="1" si="405"/>
        <v>-7.7545927508616321</v>
      </c>
    </row>
    <row r="871" spans="1:34" x14ac:dyDescent="0.2">
      <c r="A871" s="347">
        <f t="shared" ca="1" si="383"/>
        <v>1E-4</v>
      </c>
      <c r="B871" s="304">
        <f t="shared" ca="1" si="384"/>
        <v>34.734000000001352</v>
      </c>
      <c r="D871" s="306">
        <f t="shared" ca="1" si="385"/>
        <v>-0.71643734024888506</v>
      </c>
      <c r="E871" s="307">
        <f t="shared" ca="1" si="386"/>
        <v>-2.0885384058991754</v>
      </c>
      <c r="F871" s="304">
        <f t="shared" ca="1" si="387"/>
        <v>2.2080025216060704</v>
      </c>
      <c r="G871" s="306">
        <f t="shared" ca="1" si="388"/>
        <v>11.279974820647579</v>
      </c>
      <c r="H871" s="307">
        <f t="shared" ca="1" si="389"/>
        <v>-121.57182532505647</v>
      </c>
      <c r="I871" s="304">
        <f t="shared" ca="1" si="390"/>
        <v>122.09400699797057</v>
      </c>
      <c r="J871" s="306">
        <f t="shared" ca="1" si="391"/>
        <v>786.02923903053897</v>
      </c>
      <c r="K871" s="307">
        <f t="shared" ca="1" si="392"/>
        <v>-12.516413382039776</v>
      </c>
      <c r="L871" s="304">
        <f t="shared" ca="1" si="377"/>
        <v>786.12888587996713</v>
      </c>
      <c r="M871" s="306">
        <f t="shared" ca="1" si="393"/>
        <v>-1.478276769935412</v>
      </c>
      <c r="N871" s="304">
        <f t="shared" ca="1" si="394"/>
        <v>-84.699019869530886</v>
      </c>
      <c r="P871" s="310">
        <f t="shared" ca="1" si="395"/>
        <v>23</v>
      </c>
      <c r="Q871" s="304">
        <f t="shared" ca="1" si="396"/>
        <v>0</v>
      </c>
      <c r="R871" s="306">
        <f t="shared" ca="1" si="397"/>
        <v>0</v>
      </c>
      <c r="S871" s="307">
        <f t="shared" ca="1" si="398"/>
        <v>7.4799999999999969</v>
      </c>
      <c r="T871" s="304">
        <f t="shared" ca="1" si="378"/>
        <v>73.37879999999997</v>
      </c>
      <c r="U871" s="311">
        <f t="shared" ca="1" si="379"/>
        <v>0</v>
      </c>
      <c r="V871" s="306">
        <f t="shared" ca="1" si="380"/>
        <v>1.226534220786379</v>
      </c>
      <c r="W871" s="304">
        <f t="shared" ca="1" si="381"/>
        <v>58.004877429386902</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2.0134153592718809</v>
      </c>
      <c r="AH871" s="304">
        <f t="shared" ca="1" si="405"/>
        <v>-7.7546277545525646</v>
      </c>
    </row>
    <row r="872" spans="1:34" x14ac:dyDescent="0.2">
      <c r="A872" s="347">
        <f t="shared" ca="1" si="383"/>
        <v>1E-4</v>
      </c>
      <c r="B872" s="304">
        <f t="shared" ca="1" si="384"/>
        <v>34.734100000001355</v>
      </c>
      <c r="D872" s="306">
        <f t="shared" ca="1" si="385"/>
        <v>-0.7164348423229665</v>
      </c>
      <c r="E872" s="307">
        <f t="shared" ca="1" si="386"/>
        <v>-2.0885030203931052</v>
      </c>
      <c r="F872" s="304">
        <f t="shared" ca="1" si="387"/>
        <v>2.2079682401441958</v>
      </c>
      <c r="G872" s="306">
        <f t="shared" ca="1" si="388"/>
        <v>11.279903177163346</v>
      </c>
      <c r="H872" s="307">
        <f t="shared" ca="1" si="389"/>
        <v>-121.57203417535851</v>
      </c>
      <c r="I872" s="304">
        <f t="shared" ca="1" si="390"/>
        <v>122.09420833610707</v>
      </c>
      <c r="J872" s="306">
        <f t="shared" ca="1" si="391"/>
        <v>786.02923903053897</v>
      </c>
      <c r="K872" s="307">
        <f t="shared" ca="1" si="392"/>
        <v>-12.528570575014797</v>
      </c>
      <c r="L872" s="304">
        <f t="shared" ca="1" si="377"/>
        <v>786.12907953565821</v>
      </c>
      <c r="M872" s="306">
        <f t="shared" ca="1" si="393"/>
        <v>-1.4782775122495417</v>
      </c>
      <c r="N872" s="304">
        <f t="shared" ca="1" si="394"/>
        <v>-84.69906240099759</v>
      </c>
      <c r="P872" s="310">
        <f t="shared" ca="1" si="395"/>
        <v>23</v>
      </c>
      <c r="Q872" s="304">
        <f t="shared" ca="1" si="396"/>
        <v>0</v>
      </c>
      <c r="R872" s="306">
        <f t="shared" ca="1" si="397"/>
        <v>0</v>
      </c>
      <c r="S872" s="307">
        <f t="shared" ca="1" si="398"/>
        <v>7.4799999999999969</v>
      </c>
      <c r="T872" s="304">
        <f t="shared" ca="1" si="378"/>
        <v>73.37879999999997</v>
      </c>
      <c r="U872" s="311">
        <f t="shared" ca="1" si="379"/>
        <v>0</v>
      </c>
      <c r="V872" s="306">
        <f t="shared" ca="1" si="380"/>
        <v>1.2265357119091911</v>
      </c>
      <c r="W872" s="304">
        <f t="shared" ca="1" si="381"/>
        <v>58.005139252446192</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2.013381028670242</v>
      </c>
      <c r="AH872" s="304">
        <f t="shared" ca="1" si="405"/>
        <v>-7.7546627579394283</v>
      </c>
    </row>
    <row r="873" spans="1:34" x14ac:dyDescent="0.2">
      <c r="A873" s="347">
        <f t="shared" ca="1" si="383"/>
        <v>1E-4</v>
      </c>
      <c r="B873" s="304">
        <f t="shared" ca="1" si="384"/>
        <v>34.734200000001358</v>
      </c>
      <c r="D873" s="306">
        <f t="shared" ca="1" si="385"/>
        <v>-0.71643234437212644</v>
      </c>
      <c r="E873" s="307">
        <f t="shared" ca="1" si="386"/>
        <v>-2.0884676351943909</v>
      </c>
      <c r="F873" s="304">
        <f t="shared" ca="1" si="387"/>
        <v>2.2079339590026223</v>
      </c>
      <c r="G873" s="306">
        <f t="shared" ca="1" si="388"/>
        <v>11.27983153392891</v>
      </c>
      <c r="H873" s="307">
        <f t="shared" ca="1" si="389"/>
        <v>-121.57224302212202</v>
      </c>
      <c r="I873" s="304">
        <f t="shared" ca="1" si="390"/>
        <v>122.09440967081053</v>
      </c>
      <c r="J873" s="306">
        <f t="shared" ca="1" si="391"/>
        <v>786.02923903053897</v>
      </c>
      <c r="K873" s="307">
        <f t="shared" ca="1" si="392"/>
        <v>-12.540727788874671</v>
      </c>
      <c r="L873" s="304">
        <f t="shared" ca="1" si="377"/>
        <v>786.1292733796414</v>
      </c>
      <c r="M873" s="306">
        <f t="shared" ca="1" si="393"/>
        <v>-1.4782782545565085</v>
      </c>
      <c r="N873" s="304">
        <f t="shared" ca="1" si="394"/>
        <v>-84.699104932053899</v>
      </c>
      <c r="P873" s="310">
        <f t="shared" ca="1" si="395"/>
        <v>23</v>
      </c>
      <c r="Q873" s="304">
        <f t="shared" ca="1" si="396"/>
        <v>0</v>
      </c>
      <c r="R873" s="306">
        <f t="shared" ca="1" si="397"/>
        <v>0</v>
      </c>
      <c r="S873" s="307">
        <f t="shared" ca="1" si="398"/>
        <v>7.4799999999999969</v>
      </c>
      <c r="T873" s="304">
        <f t="shared" ca="1" si="378"/>
        <v>73.37879999999997</v>
      </c>
      <c r="U873" s="311">
        <f t="shared" ca="1" si="379"/>
        <v>0</v>
      </c>
      <c r="V873" s="306">
        <f t="shared" ca="1" si="380"/>
        <v>1.2265372030363788</v>
      </c>
      <c r="W873" s="304">
        <f t="shared" ca="1" si="381"/>
        <v>58.005401073231027</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2.0133466983608006</v>
      </c>
      <c r="AH873" s="304">
        <f t="shared" ca="1" si="405"/>
        <v>-7.7546977610222214</v>
      </c>
    </row>
    <row r="874" spans="1:34" x14ac:dyDescent="0.2">
      <c r="A874" s="347">
        <f t="shared" ca="1" si="383"/>
        <v>1E-4</v>
      </c>
      <c r="B874" s="304">
        <f t="shared" ca="1" si="384"/>
        <v>34.734300000001362</v>
      </c>
      <c r="D874" s="306">
        <f t="shared" ca="1" si="385"/>
        <v>-0.71642984639636431</v>
      </c>
      <c r="E874" s="307">
        <f t="shared" ca="1" si="386"/>
        <v>-2.0884322503030326</v>
      </c>
      <c r="F874" s="304">
        <f t="shared" ca="1" si="387"/>
        <v>2.2078996781813496</v>
      </c>
      <c r="G874" s="306">
        <f t="shared" ca="1" si="388"/>
        <v>11.27975989094427</v>
      </c>
      <c r="H874" s="307">
        <f t="shared" ca="1" si="389"/>
        <v>-121.57245186534705</v>
      </c>
      <c r="I874" s="304">
        <f t="shared" ca="1" si="390"/>
        <v>122.09461100208101</v>
      </c>
      <c r="J874" s="306">
        <f t="shared" ca="1" si="391"/>
        <v>786.02923903053897</v>
      </c>
      <c r="K874" s="307">
        <f t="shared" ca="1" si="392"/>
        <v>-12.552885023619044</v>
      </c>
      <c r="L874" s="304">
        <f t="shared" ca="1" si="377"/>
        <v>786.12946741191706</v>
      </c>
      <c r="M874" s="306">
        <f t="shared" ca="1" si="393"/>
        <v>-1.4782789968563126</v>
      </c>
      <c r="N874" s="304">
        <f t="shared" ca="1" si="394"/>
        <v>-84.699147462699798</v>
      </c>
      <c r="P874" s="310">
        <f t="shared" ca="1" si="395"/>
        <v>23</v>
      </c>
      <c r="Q874" s="304">
        <f t="shared" ca="1" si="396"/>
        <v>0</v>
      </c>
      <c r="R874" s="306">
        <f t="shared" ca="1" si="397"/>
        <v>0</v>
      </c>
      <c r="S874" s="307">
        <f t="shared" ca="1" si="398"/>
        <v>7.4799999999999969</v>
      </c>
      <c r="T874" s="304">
        <f t="shared" ca="1" si="378"/>
        <v>73.37879999999997</v>
      </c>
      <c r="U874" s="311">
        <f t="shared" ca="1" si="379"/>
        <v>0</v>
      </c>
      <c r="V874" s="306">
        <f t="shared" ca="1" si="380"/>
        <v>1.2265386941679424</v>
      </c>
      <c r="W874" s="304">
        <f t="shared" ca="1" si="381"/>
        <v>58.005662891741494</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2.0133123683435539</v>
      </c>
      <c r="AH874" s="304">
        <f t="shared" ca="1" si="405"/>
        <v>-7.7547327638009431</v>
      </c>
    </row>
    <row r="875" spans="1:34" x14ac:dyDescent="0.2">
      <c r="A875" s="347">
        <f t="shared" ca="1" si="383"/>
        <v>1E-4</v>
      </c>
      <c r="B875" s="304">
        <f t="shared" ca="1" si="384"/>
        <v>34.734400000001365</v>
      </c>
      <c r="D875" s="306">
        <f t="shared" ca="1" si="385"/>
        <v>-0.7164273483956809</v>
      </c>
      <c r="E875" s="307">
        <f t="shared" ca="1" si="386"/>
        <v>-2.0883968657190204</v>
      </c>
      <c r="F875" s="304">
        <f t="shared" ca="1" si="387"/>
        <v>2.207865397680369</v>
      </c>
      <c r="G875" s="306">
        <f t="shared" ca="1" si="388"/>
        <v>11.27968824820943</v>
      </c>
      <c r="H875" s="307">
        <f t="shared" ca="1" si="389"/>
        <v>-121.57266070503363</v>
      </c>
      <c r="I875" s="304">
        <f t="shared" ca="1" si="390"/>
        <v>122.09481232991851</v>
      </c>
      <c r="J875" s="306">
        <f t="shared" ca="1" si="391"/>
        <v>786.02923903053897</v>
      </c>
      <c r="K875" s="307">
        <f t="shared" ca="1" si="392"/>
        <v>-12.565042279247564</v>
      </c>
      <c r="L875" s="304">
        <f t="shared" ca="1" si="377"/>
        <v>786.12966163248632</v>
      </c>
      <c r="M875" s="306">
        <f t="shared" ca="1" si="393"/>
        <v>-1.4782797391489539</v>
      </c>
      <c r="N875" s="304">
        <f t="shared" ca="1" si="394"/>
        <v>-84.699189992935317</v>
      </c>
      <c r="P875" s="310">
        <f t="shared" ca="1" si="395"/>
        <v>23</v>
      </c>
      <c r="Q875" s="304">
        <f t="shared" ca="1" si="396"/>
        <v>0</v>
      </c>
      <c r="R875" s="306">
        <f t="shared" ca="1" si="397"/>
        <v>0</v>
      </c>
      <c r="S875" s="307">
        <f t="shared" ca="1" si="398"/>
        <v>7.4799999999999969</v>
      </c>
      <c r="T875" s="304">
        <f t="shared" ca="1" si="378"/>
        <v>73.37879999999997</v>
      </c>
      <c r="U875" s="311">
        <f t="shared" ca="1" si="379"/>
        <v>0</v>
      </c>
      <c r="V875" s="306">
        <f t="shared" ca="1" si="380"/>
        <v>1.2265401853038806</v>
      </c>
      <c r="W875" s="304">
        <f t="shared" ca="1" si="381"/>
        <v>58.005924707977499</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2.0132780386184983</v>
      </c>
      <c r="AH875" s="304">
        <f t="shared" ca="1" si="405"/>
        <v>-7.754767766275604</v>
      </c>
    </row>
    <row r="876" spans="1:34" x14ac:dyDescent="0.2">
      <c r="A876" s="347">
        <f t="shared" ca="1" si="383"/>
        <v>1E-4</v>
      </c>
      <c r="B876" s="304">
        <f t="shared" ca="1" si="384"/>
        <v>34.734500000001368</v>
      </c>
      <c r="D876" s="306">
        <f t="shared" ca="1" si="385"/>
        <v>-0.71642485037007675</v>
      </c>
      <c r="E876" s="307">
        <f t="shared" ca="1" si="386"/>
        <v>-2.0883614814423659</v>
      </c>
      <c r="F876" s="304">
        <f t="shared" ca="1" si="387"/>
        <v>2.2078311174996923</v>
      </c>
      <c r="G876" s="306">
        <f t="shared" ca="1" si="388"/>
        <v>11.279616605724392</v>
      </c>
      <c r="H876" s="307">
        <f t="shared" ca="1" si="389"/>
        <v>-121.57286954118177</v>
      </c>
      <c r="I876" s="304">
        <f t="shared" ca="1" si="390"/>
        <v>122.09501365432307</v>
      </c>
      <c r="J876" s="306">
        <f t="shared" ca="1" si="391"/>
        <v>786.02923903053897</v>
      </c>
      <c r="K876" s="307">
        <f t="shared" ca="1" si="392"/>
        <v>-12.577199555759874</v>
      </c>
      <c r="L876" s="304">
        <f t="shared" ca="1" si="377"/>
        <v>786.12985604134997</v>
      </c>
      <c r="M876" s="306">
        <f t="shared" ca="1" si="393"/>
        <v>-1.4782804814344328</v>
      </c>
      <c r="N876" s="304">
        <f t="shared" ca="1" si="394"/>
        <v>-84.699232522760454</v>
      </c>
      <c r="P876" s="310">
        <f t="shared" ca="1" si="395"/>
        <v>23</v>
      </c>
      <c r="Q876" s="304">
        <f t="shared" ca="1" si="396"/>
        <v>0</v>
      </c>
      <c r="R876" s="306">
        <f t="shared" ca="1" si="397"/>
        <v>0</v>
      </c>
      <c r="S876" s="307">
        <f t="shared" ca="1" si="398"/>
        <v>7.4799999999999969</v>
      </c>
      <c r="T876" s="304">
        <f t="shared" ca="1" si="378"/>
        <v>73.37879999999997</v>
      </c>
      <c r="U876" s="311">
        <f t="shared" ca="1" si="379"/>
        <v>0</v>
      </c>
      <c r="V876" s="306">
        <f t="shared" ca="1" si="380"/>
        <v>1.226541676444195</v>
      </c>
      <c r="W876" s="304">
        <f t="shared" ca="1" si="381"/>
        <v>58.006186521939092</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2.0132437091856366</v>
      </c>
      <c r="AH876" s="304">
        <f t="shared" ca="1" si="405"/>
        <v>-7.7548027684461927</v>
      </c>
    </row>
    <row r="877" spans="1:34" x14ac:dyDescent="0.2">
      <c r="A877" s="347">
        <f t="shared" ca="1" si="383"/>
        <v>1E-4</v>
      </c>
      <c r="B877" s="304">
        <f t="shared" ca="1" si="384"/>
        <v>34.734600000001372</v>
      </c>
      <c r="D877" s="306">
        <f t="shared" ca="1" si="385"/>
        <v>-0.71642235231955176</v>
      </c>
      <c r="E877" s="307">
        <f t="shared" ca="1" si="386"/>
        <v>-2.0883260974730611</v>
      </c>
      <c r="F877" s="304">
        <f t="shared" ca="1" si="387"/>
        <v>2.2077968376393113</v>
      </c>
      <c r="G877" s="306">
        <f t="shared" ca="1" si="388"/>
        <v>11.27954496348916</v>
      </c>
      <c r="H877" s="307">
        <f t="shared" ca="1" si="389"/>
        <v>-121.57307837379152</v>
      </c>
      <c r="I877" s="304">
        <f t="shared" ca="1" si="390"/>
        <v>122.09521497529471</v>
      </c>
      <c r="J877" s="306">
        <f t="shared" ca="1" si="391"/>
        <v>786.02923903053897</v>
      </c>
      <c r="K877" s="307">
        <f t="shared" ca="1" si="392"/>
        <v>-12.589356853155623</v>
      </c>
      <c r="L877" s="304">
        <f t="shared" ca="1" si="377"/>
        <v>786.13005063850869</v>
      </c>
      <c r="M877" s="306">
        <f t="shared" ca="1" si="393"/>
        <v>-1.4782812237127489</v>
      </c>
      <c r="N877" s="304">
        <f t="shared" ca="1" si="394"/>
        <v>-84.699275052175182</v>
      </c>
      <c r="P877" s="310">
        <f t="shared" ca="1" si="395"/>
        <v>23</v>
      </c>
      <c r="Q877" s="304">
        <f t="shared" ca="1" si="396"/>
        <v>0</v>
      </c>
      <c r="R877" s="306">
        <f t="shared" ca="1" si="397"/>
        <v>0</v>
      </c>
      <c r="S877" s="307">
        <f t="shared" ca="1" si="398"/>
        <v>7.4799999999999969</v>
      </c>
      <c r="T877" s="304">
        <f t="shared" ca="1" si="378"/>
        <v>73.37879999999997</v>
      </c>
      <c r="U877" s="311">
        <f t="shared" ca="1" si="379"/>
        <v>0</v>
      </c>
      <c r="V877" s="306">
        <f t="shared" ca="1" si="380"/>
        <v>1.2265431675888849</v>
      </c>
      <c r="W877" s="304">
        <f t="shared" ca="1" si="381"/>
        <v>58.006448333626281</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2.0132093800449704</v>
      </c>
      <c r="AH877" s="304">
        <f t="shared" ca="1" si="405"/>
        <v>-7.754837770312716</v>
      </c>
    </row>
    <row r="878" spans="1:34" x14ac:dyDescent="0.2">
      <c r="A878" s="347">
        <f t="shared" ca="1" si="383"/>
        <v>1E-4</v>
      </c>
      <c r="B878" s="304">
        <f t="shared" ca="1" si="384"/>
        <v>34.734700000001375</v>
      </c>
      <c r="D878" s="306">
        <f t="shared" ca="1" si="385"/>
        <v>-0.71641985424410959</v>
      </c>
      <c r="E878" s="307">
        <f t="shared" ca="1" si="386"/>
        <v>-2.0882907138111069</v>
      </c>
      <c r="F878" s="304">
        <f t="shared" ca="1" si="387"/>
        <v>2.2077625580992297</v>
      </c>
      <c r="G878" s="306">
        <f t="shared" ca="1" si="388"/>
        <v>11.279473321503735</v>
      </c>
      <c r="H878" s="307">
        <f t="shared" ca="1" si="389"/>
        <v>-121.5732872028629</v>
      </c>
      <c r="I878" s="304">
        <f t="shared" ca="1" si="390"/>
        <v>122.09541629283346</v>
      </c>
      <c r="J878" s="306">
        <f t="shared" ca="1" si="391"/>
        <v>786.02923903053897</v>
      </c>
      <c r="K878" s="307">
        <f t="shared" ca="1" si="392"/>
        <v>-12.601514171434456</v>
      </c>
      <c r="L878" s="304">
        <f t="shared" ca="1" si="377"/>
        <v>786.1302454239634</v>
      </c>
      <c r="M878" s="306">
        <f t="shared" ca="1" si="393"/>
        <v>-1.4782819659839028</v>
      </c>
      <c r="N878" s="304">
        <f t="shared" ca="1" si="394"/>
        <v>-84.699317581179557</v>
      </c>
      <c r="P878" s="310">
        <f t="shared" ca="1" si="395"/>
        <v>23</v>
      </c>
      <c r="Q878" s="304">
        <f t="shared" ca="1" si="396"/>
        <v>0</v>
      </c>
      <c r="R878" s="306">
        <f t="shared" ca="1" si="397"/>
        <v>0</v>
      </c>
      <c r="S878" s="307">
        <f t="shared" ca="1" si="398"/>
        <v>7.4799999999999969</v>
      </c>
      <c r="T878" s="304">
        <f t="shared" ca="1" si="378"/>
        <v>73.37879999999997</v>
      </c>
      <c r="U878" s="311">
        <f t="shared" ca="1" si="379"/>
        <v>0</v>
      </c>
      <c r="V878" s="306">
        <f t="shared" ca="1" si="380"/>
        <v>1.2265446587379496</v>
      </c>
      <c r="W878" s="304">
        <f t="shared" ca="1" si="381"/>
        <v>58.006710143039022</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2.0131750511964928</v>
      </c>
      <c r="AH878" s="304">
        <f t="shared" ca="1" si="405"/>
        <v>-7.7548727718751742</v>
      </c>
    </row>
    <row r="879" spans="1:34" x14ac:dyDescent="0.2">
      <c r="A879" s="347">
        <f t="shared" ca="1" si="383"/>
        <v>1E-4</v>
      </c>
      <c r="B879" s="304">
        <f t="shared" ca="1" si="384"/>
        <v>34.734800000001378</v>
      </c>
      <c r="D879" s="306">
        <f t="shared" ca="1" si="385"/>
        <v>-0.71641735614374757</v>
      </c>
      <c r="E879" s="307">
        <f t="shared" ca="1" si="386"/>
        <v>-2.0882553304565068</v>
      </c>
      <c r="F879" s="304">
        <f t="shared" ca="1" si="387"/>
        <v>2.2077282788794483</v>
      </c>
      <c r="G879" s="306">
        <f t="shared" ca="1" si="388"/>
        <v>11.279401679768121</v>
      </c>
      <c r="H879" s="307">
        <f t="shared" ca="1" si="389"/>
        <v>-121.57349602839595</v>
      </c>
      <c r="I879" s="304">
        <f t="shared" ca="1" si="390"/>
        <v>122.09561760693937</v>
      </c>
      <c r="J879" s="306">
        <f t="shared" ca="1" si="391"/>
        <v>786.02923903053897</v>
      </c>
      <c r="K879" s="307">
        <f t="shared" ca="1" si="392"/>
        <v>-12.613671510596019</v>
      </c>
      <c r="L879" s="304">
        <f t="shared" ca="1" si="377"/>
        <v>786.13044039771512</v>
      </c>
      <c r="M879" s="306">
        <f t="shared" ca="1" si="393"/>
        <v>-1.4782827082478944</v>
      </c>
      <c r="N879" s="304">
        <f t="shared" ca="1" si="394"/>
        <v>-84.699360109773565</v>
      </c>
      <c r="P879" s="310">
        <f t="shared" ca="1" si="395"/>
        <v>23</v>
      </c>
      <c r="Q879" s="304">
        <f t="shared" ca="1" si="396"/>
        <v>0</v>
      </c>
      <c r="R879" s="306">
        <f t="shared" ca="1" si="397"/>
        <v>0</v>
      </c>
      <c r="S879" s="307">
        <f t="shared" ca="1" si="398"/>
        <v>7.4799999999999969</v>
      </c>
      <c r="T879" s="304">
        <f t="shared" ca="1" si="378"/>
        <v>73.37879999999997</v>
      </c>
      <c r="U879" s="311">
        <f t="shared" ca="1" si="379"/>
        <v>0</v>
      </c>
      <c r="V879" s="306">
        <f t="shared" ca="1" si="380"/>
        <v>1.2265461498913901</v>
      </c>
      <c r="W879" s="304">
        <f t="shared" ca="1" si="381"/>
        <v>58.006971950177373</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2.0131407226402152</v>
      </c>
      <c r="AH879" s="304">
        <f t="shared" ca="1" si="405"/>
        <v>-7.7549077731335627</v>
      </c>
    </row>
    <row r="880" spans="1:34" x14ac:dyDescent="0.2">
      <c r="A880" s="347">
        <f t="shared" ca="1" si="383"/>
        <v>1E-4</v>
      </c>
      <c r="B880" s="304">
        <f t="shared" ca="1" si="384"/>
        <v>34.734900000001382</v>
      </c>
      <c r="D880" s="306">
        <f t="shared" ca="1" si="385"/>
        <v>-0.71641485801846794</v>
      </c>
      <c r="E880" s="307">
        <f t="shared" ca="1" si="386"/>
        <v>-2.0882199474092555</v>
      </c>
      <c r="F880" s="304">
        <f t="shared" ca="1" si="387"/>
        <v>2.2076939999799645</v>
      </c>
      <c r="G880" s="306">
        <f t="shared" ca="1" si="388"/>
        <v>11.279330038282319</v>
      </c>
      <c r="H880" s="307">
        <f t="shared" ca="1" si="389"/>
        <v>-121.5737048503907</v>
      </c>
      <c r="I880" s="304">
        <f t="shared" ca="1" si="390"/>
        <v>122.09581891761245</v>
      </c>
      <c r="J880" s="306">
        <f t="shared" ca="1" si="391"/>
        <v>786.02923903053897</v>
      </c>
      <c r="K880" s="307">
        <f t="shared" ca="1" si="392"/>
        <v>-12.625828870639959</v>
      </c>
      <c r="L880" s="304">
        <f t="shared" ca="1" si="377"/>
        <v>786.13063555976419</v>
      </c>
      <c r="M880" s="306">
        <f t="shared" ca="1" si="393"/>
        <v>-1.478283450504724</v>
      </c>
      <c r="N880" s="304">
        <f t="shared" ca="1" si="394"/>
        <v>-84.699402637957206</v>
      </c>
      <c r="P880" s="310">
        <f t="shared" ca="1" si="395"/>
        <v>23</v>
      </c>
      <c r="Q880" s="304">
        <f t="shared" ca="1" si="396"/>
        <v>0</v>
      </c>
      <c r="R880" s="306">
        <f t="shared" ca="1" si="397"/>
        <v>0</v>
      </c>
      <c r="S880" s="307">
        <f t="shared" ca="1" si="398"/>
        <v>7.4799999999999969</v>
      </c>
      <c r="T880" s="304">
        <f t="shared" ca="1" si="378"/>
        <v>73.37879999999997</v>
      </c>
      <c r="U880" s="311">
        <f t="shared" ca="1" si="379"/>
        <v>0</v>
      </c>
      <c r="V880" s="306">
        <f t="shared" ca="1" si="380"/>
        <v>1.2265476410492056</v>
      </c>
      <c r="W880" s="304">
        <f t="shared" ca="1" si="381"/>
        <v>58.007233755041277</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2.013106394376126</v>
      </c>
      <c r="AH880" s="304">
        <f t="shared" ca="1" si="405"/>
        <v>-7.7549427740878878</v>
      </c>
    </row>
    <row r="881" spans="1:34" x14ac:dyDescent="0.2">
      <c r="A881" s="347">
        <f t="shared" ca="1" si="383"/>
        <v>1E-4</v>
      </c>
      <c r="B881" s="304">
        <f t="shared" ca="1" si="384"/>
        <v>34.735000000001385</v>
      </c>
      <c r="D881" s="306">
        <f t="shared" ca="1" si="385"/>
        <v>-0.71641235986826923</v>
      </c>
      <c r="E881" s="307">
        <f t="shared" ca="1" si="386"/>
        <v>-2.0881845646693611</v>
      </c>
      <c r="F881" s="304">
        <f t="shared" ca="1" si="387"/>
        <v>2.2076597214007849</v>
      </c>
      <c r="G881" s="306">
        <f t="shared" ca="1" si="388"/>
        <v>11.279258397046332</v>
      </c>
      <c r="H881" s="307">
        <f t="shared" ca="1" si="389"/>
        <v>-121.57391366884717</v>
      </c>
      <c r="I881" s="304">
        <f t="shared" ca="1" si="390"/>
        <v>122.09602022485272</v>
      </c>
      <c r="J881" s="306">
        <f t="shared" ca="1" si="391"/>
        <v>786.02923903053897</v>
      </c>
      <c r="K881" s="307">
        <f t="shared" ca="1" si="392"/>
        <v>-12.63798625156592</v>
      </c>
      <c r="L881" s="304">
        <f t="shared" ca="1" si="377"/>
        <v>786.13083091011197</v>
      </c>
      <c r="M881" s="306">
        <f t="shared" ca="1" si="393"/>
        <v>-1.4782841927543913</v>
      </c>
      <c r="N881" s="304">
        <f t="shared" ca="1" si="394"/>
        <v>-84.699445165730495</v>
      </c>
      <c r="P881" s="310">
        <f t="shared" ca="1" si="395"/>
        <v>23</v>
      </c>
      <c r="Q881" s="304">
        <f t="shared" ca="1" si="396"/>
        <v>0</v>
      </c>
      <c r="R881" s="306">
        <f t="shared" ca="1" si="397"/>
        <v>0</v>
      </c>
      <c r="S881" s="307">
        <f t="shared" ca="1" si="398"/>
        <v>7.4799999999999969</v>
      </c>
      <c r="T881" s="304">
        <f t="shared" ca="1" si="378"/>
        <v>73.37879999999997</v>
      </c>
      <c r="U881" s="311">
        <f t="shared" ca="1" si="379"/>
        <v>0</v>
      </c>
      <c r="V881" s="306">
        <f t="shared" ca="1" si="380"/>
        <v>1.2265491322113962</v>
      </c>
      <c r="W881" s="304">
        <f t="shared" ca="1" si="381"/>
        <v>58.007495557630754</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2.013072066404237</v>
      </c>
      <c r="AH881" s="304">
        <f t="shared" ca="1" si="405"/>
        <v>-7.7549777747381414</v>
      </c>
    </row>
    <row r="882" spans="1:34" x14ac:dyDescent="0.2">
      <c r="A882" s="347">
        <f t="shared" ca="1" si="383"/>
        <v>1E-4</v>
      </c>
      <c r="B882" s="304">
        <f t="shared" ca="1" si="384"/>
        <v>34.735100000001388</v>
      </c>
      <c r="D882" s="306">
        <f t="shared" ca="1" si="385"/>
        <v>-0.71640986169315557</v>
      </c>
      <c r="E882" s="307">
        <f t="shared" ca="1" si="386"/>
        <v>-2.0881491822368181</v>
      </c>
      <c r="F882" s="304">
        <f t="shared" ca="1" si="387"/>
        <v>2.2076254431419065</v>
      </c>
      <c r="G882" s="306">
        <f t="shared" ca="1" si="388"/>
        <v>11.279186756060163</v>
      </c>
      <c r="H882" s="307">
        <f t="shared" ca="1" si="389"/>
        <v>-121.57412248376539</v>
      </c>
      <c r="I882" s="304">
        <f t="shared" ca="1" si="390"/>
        <v>122.09622152866022</v>
      </c>
      <c r="J882" s="306">
        <f t="shared" ca="1" si="391"/>
        <v>786.02923903053897</v>
      </c>
      <c r="K882" s="307">
        <f t="shared" ca="1" si="392"/>
        <v>-12.650143653373551</v>
      </c>
      <c r="L882" s="304">
        <f t="shared" ca="1" si="377"/>
        <v>786.13102644875892</v>
      </c>
      <c r="M882" s="306">
        <f t="shared" ca="1" si="393"/>
        <v>-1.4782849349968965</v>
      </c>
      <c r="N882" s="304">
        <f t="shared" ca="1" si="394"/>
        <v>-84.699487693093417</v>
      </c>
      <c r="P882" s="310">
        <f t="shared" ca="1" si="395"/>
        <v>23</v>
      </c>
      <c r="Q882" s="304">
        <f t="shared" ca="1" si="396"/>
        <v>0</v>
      </c>
      <c r="R882" s="306">
        <f t="shared" ca="1" si="397"/>
        <v>0</v>
      </c>
      <c r="S882" s="307">
        <f t="shared" ca="1" si="398"/>
        <v>7.4799999999999969</v>
      </c>
      <c r="T882" s="304">
        <f t="shared" ca="1" si="378"/>
        <v>73.37879999999997</v>
      </c>
      <c r="U882" s="311">
        <f t="shared" ca="1" si="379"/>
        <v>0</v>
      </c>
      <c r="V882" s="306">
        <f t="shared" ca="1" si="380"/>
        <v>1.2265506233779624</v>
      </c>
      <c r="W882" s="304">
        <f t="shared" ca="1" si="381"/>
        <v>58.007757357945835</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2.0130377387245391</v>
      </c>
      <c r="AH882" s="304">
        <f t="shared" ca="1" si="405"/>
        <v>-7.755012775084329</v>
      </c>
    </row>
    <row r="883" spans="1:34" x14ac:dyDescent="0.2">
      <c r="A883" s="347">
        <f t="shared" ca="1" si="383"/>
        <v>1E-4</v>
      </c>
      <c r="B883" s="304">
        <f t="shared" ca="1" si="384"/>
        <v>34.735200000001392</v>
      </c>
      <c r="D883" s="306">
        <f t="shared" ca="1" si="385"/>
        <v>-0.71640736349312639</v>
      </c>
      <c r="E883" s="307">
        <f t="shared" ca="1" si="386"/>
        <v>-2.0881138001116248</v>
      </c>
      <c r="F883" s="304">
        <f t="shared" ca="1" si="387"/>
        <v>2.2075911652033269</v>
      </c>
      <c r="G883" s="306">
        <f t="shared" ca="1" si="388"/>
        <v>11.279115115323814</v>
      </c>
      <c r="H883" s="307">
        <f t="shared" ca="1" si="389"/>
        <v>-121.5743312951454</v>
      </c>
      <c r="I883" s="304">
        <f t="shared" ca="1" si="390"/>
        <v>122.09642282903499</v>
      </c>
      <c r="J883" s="306">
        <f t="shared" ca="1" si="391"/>
        <v>786.02923903053897</v>
      </c>
      <c r="K883" s="307">
        <f t="shared" ca="1" si="392"/>
        <v>-12.662301076062496</v>
      </c>
      <c r="L883" s="304">
        <f t="shared" ca="1" si="377"/>
        <v>786.13122217570583</v>
      </c>
      <c r="M883" s="306">
        <f t="shared" ca="1" si="393"/>
        <v>-1.4782856772322401</v>
      </c>
      <c r="N883" s="304">
        <f t="shared" ca="1" si="394"/>
        <v>-84.699530220046015</v>
      </c>
      <c r="P883" s="310">
        <f t="shared" ca="1" si="395"/>
        <v>23</v>
      </c>
      <c r="Q883" s="304">
        <f t="shared" ca="1" si="396"/>
        <v>0</v>
      </c>
      <c r="R883" s="306">
        <f t="shared" ca="1" si="397"/>
        <v>0</v>
      </c>
      <c r="S883" s="307">
        <f t="shared" ca="1" si="398"/>
        <v>7.4799999999999969</v>
      </c>
      <c r="T883" s="304">
        <f t="shared" ca="1" si="378"/>
        <v>73.37879999999997</v>
      </c>
      <c r="U883" s="311">
        <f t="shared" ca="1" si="379"/>
        <v>0</v>
      </c>
      <c r="V883" s="306">
        <f t="shared" ca="1" si="380"/>
        <v>1.226552114548904</v>
      </c>
      <c r="W883" s="304">
        <f t="shared" ca="1" si="381"/>
        <v>58.008019155986517</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2.0130034113370368</v>
      </c>
      <c r="AH883" s="304">
        <f t="shared" ca="1" si="405"/>
        <v>-7.7550477751264513</v>
      </c>
    </row>
    <row r="884" spans="1:34" x14ac:dyDescent="0.2">
      <c r="A884" s="347">
        <f t="shared" ca="1" si="383"/>
        <v>1E-4</v>
      </c>
      <c r="B884" s="304">
        <f t="shared" ca="1" si="384"/>
        <v>34.735300000001395</v>
      </c>
      <c r="D884" s="306">
        <f t="shared" ca="1" si="385"/>
        <v>-0.71640486526818015</v>
      </c>
      <c r="E884" s="307">
        <f t="shared" ca="1" si="386"/>
        <v>-2.0880784182937777</v>
      </c>
      <c r="F884" s="304">
        <f t="shared" ca="1" si="387"/>
        <v>2.2075568875850435</v>
      </c>
      <c r="G884" s="306">
        <f t="shared" ca="1" si="388"/>
        <v>11.279043474837287</v>
      </c>
      <c r="H884" s="307">
        <f t="shared" ca="1" si="389"/>
        <v>-121.57454010298723</v>
      </c>
      <c r="I884" s="304">
        <f t="shared" ca="1" si="390"/>
        <v>122.09662412597704</v>
      </c>
      <c r="J884" s="306">
        <f t="shared" ca="1" si="391"/>
        <v>786.02923903053897</v>
      </c>
      <c r="K884" s="307">
        <f t="shared" ca="1" si="392"/>
        <v>-12.674458519632402</v>
      </c>
      <c r="L884" s="304">
        <f t="shared" ca="1" si="377"/>
        <v>786.13141809095384</v>
      </c>
      <c r="M884" s="306">
        <f t="shared" ca="1" si="393"/>
        <v>-1.4782864194604217</v>
      </c>
      <c r="N884" s="304">
        <f t="shared" ca="1" si="394"/>
        <v>-84.699572746588245</v>
      </c>
      <c r="P884" s="310">
        <f t="shared" ca="1" si="395"/>
        <v>23</v>
      </c>
      <c r="Q884" s="304">
        <f t="shared" ca="1" si="396"/>
        <v>0</v>
      </c>
      <c r="R884" s="306">
        <f t="shared" ca="1" si="397"/>
        <v>0</v>
      </c>
      <c r="S884" s="307">
        <f t="shared" ca="1" si="398"/>
        <v>7.4799999999999969</v>
      </c>
      <c r="T884" s="304">
        <f t="shared" ca="1" si="378"/>
        <v>73.37879999999997</v>
      </c>
      <c r="U884" s="311">
        <f t="shared" ca="1" si="379"/>
        <v>0</v>
      </c>
      <c r="V884" s="306">
        <f t="shared" ca="1" si="380"/>
        <v>1.2265536057242206</v>
      </c>
      <c r="W884" s="304">
        <f t="shared" ca="1" si="381"/>
        <v>58.008280951752766</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2.0129690842417256</v>
      </c>
      <c r="AH884" s="304">
        <f t="shared" ca="1" si="405"/>
        <v>-7.755082774864511</v>
      </c>
    </row>
    <row r="885" spans="1:34" x14ac:dyDescent="0.2">
      <c r="A885" s="347">
        <f t="shared" ca="1" si="383"/>
        <v>1E-4</v>
      </c>
      <c r="B885" s="304">
        <f t="shared" ca="1" si="384"/>
        <v>34.735400000001398</v>
      </c>
      <c r="D885" s="306">
        <f t="shared" ca="1" si="385"/>
        <v>-0.71640236701832094</v>
      </c>
      <c r="E885" s="307">
        <f t="shared" ca="1" si="386"/>
        <v>-2.0880430367832874</v>
      </c>
      <c r="F885" s="304">
        <f t="shared" ca="1" si="387"/>
        <v>2.2075226102870671</v>
      </c>
      <c r="G885" s="306">
        <f t="shared" ca="1" si="388"/>
        <v>11.278971834600586</v>
      </c>
      <c r="H885" s="307">
        <f t="shared" ca="1" si="389"/>
        <v>-121.57474890729091</v>
      </c>
      <c r="I885" s="304">
        <f t="shared" ca="1" si="390"/>
        <v>122.09682541948642</v>
      </c>
      <c r="J885" s="306">
        <f t="shared" ca="1" si="391"/>
        <v>786.02923903053897</v>
      </c>
      <c r="K885" s="307">
        <f t="shared" ca="1" si="392"/>
        <v>-12.686615984082916</v>
      </c>
      <c r="L885" s="304">
        <f t="shared" ca="1" si="377"/>
        <v>786.13161419450364</v>
      </c>
      <c r="M885" s="306">
        <f t="shared" ca="1" si="393"/>
        <v>-1.4782871616814417</v>
      </c>
      <c r="N885" s="304">
        <f t="shared" ca="1" si="394"/>
        <v>-84.699615272720166</v>
      </c>
      <c r="P885" s="310">
        <f t="shared" ca="1" si="395"/>
        <v>23</v>
      </c>
      <c r="Q885" s="304">
        <f t="shared" ca="1" si="396"/>
        <v>0</v>
      </c>
      <c r="R885" s="306">
        <f t="shared" ca="1" si="397"/>
        <v>0</v>
      </c>
      <c r="S885" s="307">
        <f t="shared" ca="1" si="398"/>
        <v>7.4799999999999969</v>
      </c>
      <c r="T885" s="304">
        <f t="shared" ca="1" si="378"/>
        <v>73.37879999999997</v>
      </c>
      <c r="U885" s="311">
        <f t="shared" ca="1" si="379"/>
        <v>0</v>
      </c>
      <c r="V885" s="306">
        <f t="shared" ca="1" si="380"/>
        <v>1.2265550969039123</v>
      </c>
      <c r="W885" s="304">
        <f t="shared" ca="1" si="381"/>
        <v>58.008542745244611</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2.0129347574386109</v>
      </c>
      <c r="AH885" s="304">
        <f t="shared" ca="1" si="405"/>
        <v>-7.7551177742985011</v>
      </c>
    </row>
    <row r="886" spans="1:34" x14ac:dyDescent="0.2">
      <c r="A886" s="347">
        <f t="shared" ca="1" si="383"/>
        <v>1E-4</v>
      </c>
      <c r="B886" s="304">
        <f t="shared" ca="1" si="384"/>
        <v>34.735500000001402</v>
      </c>
      <c r="D886" s="306">
        <f t="shared" ca="1" si="385"/>
        <v>-0.71639986874354744</v>
      </c>
      <c r="E886" s="307">
        <f t="shared" ca="1" si="386"/>
        <v>-2.0880076555801459</v>
      </c>
      <c r="F886" s="304">
        <f t="shared" ca="1" si="387"/>
        <v>2.20748833330939</v>
      </c>
      <c r="G886" s="306">
        <f t="shared" ca="1" si="388"/>
        <v>11.278900194613712</v>
      </c>
      <c r="H886" s="307">
        <f t="shared" ca="1" si="389"/>
        <v>-121.57495770805647</v>
      </c>
      <c r="I886" s="304">
        <f t="shared" ca="1" si="390"/>
        <v>122.09702670956314</v>
      </c>
      <c r="J886" s="306">
        <f t="shared" ca="1" si="391"/>
        <v>786.02923903053897</v>
      </c>
      <c r="K886" s="307">
        <f t="shared" ca="1" si="392"/>
        <v>-12.698773469413684</v>
      </c>
      <c r="L886" s="304">
        <f t="shared" ca="1" si="377"/>
        <v>786.13181048635579</v>
      </c>
      <c r="M886" s="306">
        <f t="shared" ca="1" si="393"/>
        <v>-1.4782879038953003</v>
      </c>
      <c r="N886" s="304">
        <f t="shared" ca="1" si="394"/>
        <v>-84.699657798441763</v>
      </c>
      <c r="P886" s="310">
        <f t="shared" ca="1" si="395"/>
        <v>23</v>
      </c>
      <c r="Q886" s="304">
        <f t="shared" ca="1" si="396"/>
        <v>0</v>
      </c>
      <c r="R886" s="306">
        <f t="shared" ca="1" si="397"/>
        <v>0</v>
      </c>
      <c r="S886" s="307">
        <f t="shared" ca="1" si="398"/>
        <v>7.4799999999999969</v>
      </c>
      <c r="T886" s="304">
        <f t="shared" ca="1" si="378"/>
        <v>73.37879999999997</v>
      </c>
      <c r="U886" s="311">
        <f t="shared" ca="1" si="379"/>
        <v>0</v>
      </c>
      <c r="V886" s="306">
        <f t="shared" ca="1" si="380"/>
        <v>1.2265565880879787</v>
      </c>
      <c r="W886" s="304">
        <f t="shared" ca="1" si="381"/>
        <v>58.008804536462023</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2.0129004309276892</v>
      </c>
      <c r="AH886" s="304">
        <f t="shared" ca="1" si="405"/>
        <v>-7.7551527734284269</v>
      </c>
    </row>
    <row r="887" spans="1:34" x14ac:dyDescent="0.2">
      <c r="A887" s="347">
        <f t="shared" ca="1" si="383"/>
        <v>1E-4</v>
      </c>
      <c r="B887" s="304">
        <f t="shared" ca="1" si="384"/>
        <v>34.735600000001405</v>
      </c>
      <c r="D887" s="306">
        <f t="shared" ca="1" si="385"/>
        <v>-0.71639737044385887</v>
      </c>
      <c r="E887" s="307">
        <f t="shared" ca="1" si="386"/>
        <v>-2.0879722746843568</v>
      </c>
      <c r="F887" s="304">
        <f t="shared" ca="1" si="387"/>
        <v>2.2074540566520162</v>
      </c>
      <c r="G887" s="306">
        <f t="shared" ca="1" si="388"/>
        <v>11.278828554876668</v>
      </c>
      <c r="H887" s="307">
        <f t="shared" ca="1" si="389"/>
        <v>-121.57516650528395</v>
      </c>
      <c r="I887" s="304">
        <f t="shared" ca="1" si="390"/>
        <v>122.09722799620725</v>
      </c>
      <c r="J887" s="306">
        <f t="shared" ca="1" si="391"/>
        <v>786.02923903053897</v>
      </c>
      <c r="K887" s="307">
        <f t="shared" ca="1" si="392"/>
        <v>-12.71093097562435</v>
      </c>
      <c r="L887" s="304">
        <f t="shared" ca="1" si="377"/>
        <v>786.13200696651154</v>
      </c>
      <c r="M887" s="306">
        <f t="shared" ca="1" si="393"/>
        <v>-1.4782886461019971</v>
      </c>
      <c r="N887" s="304">
        <f t="shared" ca="1" si="394"/>
        <v>-84.699700323753007</v>
      </c>
      <c r="P887" s="310">
        <f t="shared" ca="1" si="395"/>
        <v>23</v>
      </c>
      <c r="Q887" s="304">
        <f t="shared" ca="1" si="396"/>
        <v>0</v>
      </c>
      <c r="R887" s="306">
        <f t="shared" ca="1" si="397"/>
        <v>0</v>
      </c>
      <c r="S887" s="307">
        <f t="shared" ca="1" si="398"/>
        <v>7.4799999999999969</v>
      </c>
      <c r="T887" s="304">
        <f t="shared" ca="1" si="378"/>
        <v>73.37879999999997</v>
      </c>
      <c r="U887" s="311">
        <f t="shared" ca="1" si="379"/>
        <v>0</v>
      </c>
      <c r="V887" s="306">
        <f t="shared" ca="1" si="380"/>
        <v>1.2265580792764208</v>
      </c>
      <c r="W887" s="304">
        <f t="shared" ca="1" si="381"/>
        <v>58.009066325405072</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2.0128661047089675</v>
      </c>
      <c r="AH887" s="304">
        <f t="shared" ca="1" si="405"/>
        <v>-7.7551877722542848</v>
      </c>
    </row>
    <row r="888" spans="1:34" x14ac:dyDescent="0.2">
      <c r="A888" s="347">
        <f t="shared" ca="1" si="383"/>
        <v>1E-4</v>
      </c>
      <c r="B888" s="304">
        <f t="shared" ca="1" si="384"/>
        <v>34.735700000001408</v>
      </c>
      <c r="D888" s="306">
        <f t="shared" ca="1" si="385"/>
        <v>-0.71639487211926089</v>
      </c>
      <c r="E888" s="307">
        <f t="shared" ca="1" si="386"/>
        <v>-2.087936894095912</v>
      </c>
      <c r="F888" s="304">
        <f t="shared" ca="1" si="387"/>
        <v>2.2074197803149396</v>
      </c>
      <c r="G888" s="306">
        <f t="shared" ca="1" si="388"/>
        <v>11.278756915389456</v>
      </c>
      <c r="H888" s="307">
        <f t="shared" ca="1" si="389"/>
        <v>-121.57537529897336</v>
      </c>
      <c r="I888" s="304">
        <f t="shared" ca="1" si="390"/>
        <v>122.09742927941876</v>
      </c>
      <c r="J888" s="306">
        <f t="shared" ca="1" si="391"/>
        <v>786.02923903053897</v>
      </c>
      <c r="K888" s="307">
        <f t="shared" ca="1" si="392"/>
        <v>-12.723088502714564</v>
      </c>
      <c r="L888" s="304">
        <f t="shared" ca="1" si="377"/>
        <v>786.13220363497135</v>
      </c>
      <c r="M888" s="306">
        <f t="shared" ca="1" si="393"/>
        <v>-1.4782893883015327</v>
      </c>
      <c r="N888" s="304">
        <f t="shared" ca="1" si="394"/>
        <v>-84.699742848653955</v>
      </c>
      <c r="P888" s="310">
        <f t="shared" ca="1" si="395"/>
        <v>23</v>
      </c>
      <c r="Q888" s="304">
        <f t="shared" ca="1" si="396"/>
        <v>0</v>
      </c>
      <c r="R888" s="306">
        <f t="shared" ca="1" si="397"/>
        <v>0</v>
      </c>
      <c r="S888" s="307">
        <f t="shared" ca="1" si="398"/>
        <v>7.4799999999999969</v>
      </c>
      <c r="T888" s="304">
        <f t="shared" ca="1" si="378"/>
        <v>73.37879999999997</v>
      </c>
      <c r="U888" s="311">
        <f t="shared" ca="1" si="379"/>
        <v>0</v>
      </c>
      <c r="V888" s="306">
        <f t="shared" ca="1" si="380"/>
        <v>1.2265595704692378</v>
      </c>
      <c r="W888" s="304">
        <f t="shared" ca="1" si="381"/>
        <v>58.009328112073689</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2.0128317787824308</v>
      </c>
      <c r="AH888" s="304">
        <f t="shared" ca="1" si="405"/>
        <v>-7.7552227707760828</v>
      </c>
    </row>
    <row r="889" spans="1:34" x14ac:dyDescent="0.2">
      <c r="A889" s="347">
        <f t="shared" ca="1" si="383"/>
        <v>1E-4</v>
      </c>
      <c r="B889" s="304">
        <f t="shared" ca="1" si="384"/>
        <v>34.735800000001412</v>
      </c>
      <c r="D889" s="306">
        <f t="shared" ca="1" si="385"/>
        <v>-0.71639237376974885</v>
      </c>
      <c r="E889" s="307">
        <f t="shared" ca="1" si="386"/>
        <v>-2.0879015138148223</v>
      </c>
      <c r="F889" s="304">
        <f t="shared" ca="1" si="387"/>
        <v>2.2073855042981689</v>
      </c>
      <c r="G889" s="306">
        <f t="shared" ca="1" si="388"/>
        <v>11.278685276152078</v>
      </c>
      <c r="H889" s="307">
        <f t="shared" ca="1" si="389"/>
        <v>-121.57558408912473</v>
      </c>
      <c r="I889" s="304">
        <f t="shared" ca="1" si="390"/>
        <v>122.0976305591977</v>
      </c>
      <c r="J889" s="306">
        <f t="shared" ca="1" si="391"/>
        <v>786.02923903053897</v>
      </c>
      <c r="K889" s="307">
        <f t="shared" ca="1" si="392"/>
        <v>-12.735246050683969</v>
      </c>
      <c r="L889" s="304">
        <f t="shared" ca="1" si="377"/>
        <v>786.13240049173635</v>
      </c>
      <c r="M889" s="306">
        <f t="shared" ca="1" si="393"/>
        <v>-1.4782901304939071</v>
      </c>
      <c r="N889" s="304">
        <f t="shared" ca="1" si="394"/>
        <v>-84.699785373144593</v>
      </c>
      <c r="P889" s="310">
        <f t="shared" ca="1" si="395"/>
        <v>23</v>
      </c>
      <c r="Q889" s="304">
        <f t="shared" ca="1" si="396"/>
        <v>0</v>
      </c>
      <c r="R889" s="306">
        <f t="shared" ca="1" si="397"/>
        <v>0</v>
      </c>
      <c r="S889" s="307">
        <f t="shared" ca="1" si="398"/>
        <v>7.4799999999999969</v>
      </c>
      <c r="T889" s="304">
        <f t="shared" ca="1" si="378"/>
        <v>73.37879999999997</v>
      </c>
      <c r="U889" s="311">
        <f t="shared" ca="1" si="379"/>
        <v>0</v>
      </c>
      <c r="V889" s="306">
        <f t="shared" ca="1" si="380"/>
        <v>1.22656106166643</v>
      </c>
      <c r="W889" s="304">
        <f t="shared" ca="1" si="381"/>
        <v>58.009589896467901</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2.0127974531480932</v>
      </c>
      <c r="AH889" s="304">
        <f t="shared" ca="1" si="405"/>
        <v>-7.755257768993812</v>
      </c>
    </row>
    <row r="890" spans="1:34" x14ac:dyDescent="0.2">
      <c r="A890" s="347">
        <f t="shared" ca="1" si="383"/>
        <v>1E-4</v>
      </c>
      <c r="B890" s="304">
        <f t="shared" ca="1" si="384"/>
        <v>34.735900000001415</v>
      </c>
      <c r="D890" s="306">
        <f t="shared" ca="1" si="385"/>
        <v>-0.71638987539532473</v>
      </c>
      <c r="E890" s="307">
        <f t="shared" ca="1" si="386"/>
        <v>-2.0878661338410813</v>
      </c>
      <c r="F890" s="304">
        <f t="shared" ca="1" si="387"/>
        <v>2.2073512286016994</v>
      </c>
      <c r="G890" s="306">
        <f t="shared" ca="1" si="388"/>
        <v>11.278613637164538</v>
      </c>
      <c r="H890" s="307">
        <f t="shared" ca="1" si="389"/>
        <v>-121.57579287573812</v>
      </c>
      <c r="I890" s="304">
        <f t="shared" ca="1" si="390"/>
        <v>122.09783183554411</v>
      </c>
      <c r="J890" s="306">
        <f t="shared" ca="1" si="391"/>
        <v>786.02923903053897</v>
      </c>
      <c r="K890" s="307">
        <f t="shared" ca="1" si="392"/>
        <v>-12.747403619532212</v>
      </c>
      <c r="L890" s="304">
        <f t="shared" ca="1" si="377"/>
        <v>786.132597536807</v>
      </c>
      <c r="M890" s="306">
        <f t="shared" ca="1" si="393"/>
        <v>-1.4782908726791202</v>
      </c>
      <c r="N890" s="304">
        <f t="shared" ca="1" si="394"/>
        <v>-84.699827897224921</v>
      </c>
      <c r="P890" s="310">
        <f t="shared" ca="1" si="395"/>
        <v>23</v>
      </c>
      <c r="Q890" s="304">
        <f t="shared" ca="1" si="396"/>
        <v>0</v>
      </c>
      <c r="R890" s="306">
        <f t="shared" ca="1" si="397"/>
        <v>0</v>
      </c>
      <c r="S890" s="307">
        <f t="shared" ca="1" si="398"/>
        <v>7.4799999999999969</v>
      </c>
      <c r="T890" s="304">
        <f t="shared" ca="1" si="378"/>
        <v>73.37879999999997</v>
      </c>
      <c r="U890" s="311">
        <f t="shared" ca="1" si="379"/>
        <v>0</v>
      </c>
      <c r="V890" s="306">
        <f t="shared" ca="1" si="380"/>
        <v>1.2265625528679969</v>
      </c>
      <c r="W890" s="304">
        <f t="shared" ca="1" si="381"/>
        <v>58.009851678587722</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2.0127631278059521</v>
      </c>
      <c r="AH890" s="304">
        <f t="shared" ca="1" si="405"/>
        <v>-7.7552927669074769</v>
      </c>
    </row>
    <row r="891" spans="1:34" x14ac:dyDescent="0.2">
      <c r="A891" s="347">
        <f t="shared" ca="1" si="383"/>
        <v>1E-4</v>
      </c>
      <c r="B891" s="304">
        <f t="shared" ca="1" si="384"/>
        <v>34.736000000001418</v>
      </c>
      <c r="D891" s="306">
        <f t="shared" ca="1" si="385"/>
        <v>-0.71638737699599175</v>
      </c>
      <c r="E891" s="307">
        <f t="shared" ca="1" si="386"/>
        <v>-2.0878307541746892</v>
      </c>
      <c r="F891" s="304">
        <f t="shared" ca="1" si="387"/>
        <v>2.2073169532255328</v>
      </c>
      <c r="G891" s="306">
        <f t="shared" ca="1" si="388"/>
        <v>11.278541998426839</v>
      </c>
      <c r="H891" s="307">
        <f t="shared" ca="1" si="389"/>
        <v>-121.57600165881354</v>
      </c>
      <c r="I891" s="304">
        <f t="shared" ca="1" si="390"/>
        <v>122.09803310845801</v>
      </c>
      <c r="J891" s="306">
        <f t="shared" ca="1" si="391"/>
        <v>786.02923903053897</v>
      </c>
      <c r="K891" s="307">
        <f t="shared" ca="1" si="392"/>
        <v>-12.759561209258941</v>
      </c>
      <c r="L891" s="304">
        <f t="shared" ca="1" si="377"/>
        <v>786.13279477018455</v>
      </c>
      <c r="M891" s="306">
        <f t="shared" ca="1" si="393"/>
        <v>-1.4782916148571723</v>
      </c>
      <c r="N891" s="304">
        <f t="shared" ca="1" si="394"/>
        <v>-84.699870420894953</v>
      </c>
      <c r="P891" s="310">
        <f t="shared" ca="1" si="395"/>
        <v>23</v>
      </c>
      <c r="Q891" s="304">
        <f t="shared" ca="1" si="396"/>
        <v>0</v>
      </c>
      <c r="R891" s="306">
        <f t="shared" ca="1" si="397"/>
        <v>0</v>
      </c>
      <c r="S891" s="307">
        <f t="shared" ca="1" si="398"/>
        <v>7.4799999999999969</v>
      </c>
      <c r="T891" s="304">
        <f t="shared" ca="1" si="378"/>
        <v>73.37879999999997</v>
      </c>
      <c r="U891" s="311">
        <f t="shared" ca="1" si="379"/>
        <v>0</v>
      </c>
      <c r="V891" s="306">
        <f t="shared" ca="1" si="380"/>
        <v>1.2265640440739392</v>
      </c>
      <c r="W891" s="304">
        <f t="shared" ca="1" si="381"/>
        <v>58.010113458433139</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2.0127288027560031</v>
      </c>
      <c r="AH891" s="304">
        <f t="shared" ca="1" si="405"/>
        <v>-7.7553277645170784</v>
      </c>
    </row>
    <row r="892" spans="1:34" x14ac:dyDescent="0.2">
      <c r="A892" s="347">
        <f t="shared" ca="1" si="383"/>
        <v>1E-4</v>
      </c>
      <c r="B892" s="304">
        <f t="shared" ca="1" si="384"/>
        <v>34.736100000001422</v>
      </c>
      <c r="D892" s="306">
        <f t="shared" ca="1" si="385"/>
        <v>-0.71638487857174782</v>
      </c>
      <c r="E892" s="307">
        <f t="shared" ca="1" si="386"/>
        <v>-2.0877953748156459</v>
      </c>
      <c r="F892" s="304">
        <f t="shared" ca="1" si="387"/>
        <v>2.2072826781696677</v>
      </c>
      <c r="G892" s="306">
        <f t="shared" ca="1" si="388"/>
        <v>11.278470359938982</v>
      </c>
      <c r="H892" s="307">
        <f t="shared" ca="1" si="389"/>
        <v>-121.57621043835103</v>
      </c>
      <c r="I892" s="304">
        <f t="shared" ca="1" si="390"/>
        <v>122.09823437793945</v>
      </c>
      <c r="J892" s="306">
        <f t="shared" ca="1" si="391"/>
        <v>786.02923903053897</v>
      </c>
      <c r="K892" s="307">
        <f t="shared" ca="1" si="392"/>
        <v>-12.771718819863798</v>
      </c>
      <c r="L892" s="304">
        <f t="shared" ca="1" si="377"/>
        <v>786.13299219186945</v>
      </c>
      <c r="M892" s="306">
        <f t="shared" ca="1" si="393"/>
        <v>-1.4782923570280635</v>
      </c>
      <c r="N892" s="304">
        <f t="shared" ca="1" si="394"/>
        <v>-84.699912944154704</v>
      </c>
      <c r="P892" s="310">
        <f t="shared" ca="1" si="395"/>
        <v>23</v>
      </c>
      <c r="Q892" s="304">
        <f t="shared" ca="1" si="396"/>
        <v>0</v>
      </c>
      <c r="R892" s="306">
        <f t="shared" ca="1" si="397"/>
        <v>0</v>
      </c>
      <c r="S892" s="307">
        <f t="shared" ca="1" si="398"/>
        <v>7.4799999999999969</v>
      </c>
      <c r="T892" s="304">
        <f t="shared" ca="1" si="378"/>
        <v>73.37879999999997</v>
      </c>
      <c r="U892" s="311">
        <f t="shared" ca="1" si="379"/>
        <v>0</v>
      </c>
      <c r="V892" s="306">
        <f t="shared" ca="1" si="380"/>
        <v>1.2265655352842559</v>
      </c>
      <c r="W892" s="304">
        <f t="shared" ca="1" si="381"/>
        <v>58.010375236004144</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2.012694477998247</v>
      </c>
      <c r="AH892" s="304">
        <f t="shared" ca="1" si="405"/>
        <v>-7.7553627618226155</v>
      </c>
    </row>
    <row r="893" spans="1:34" x14ac:dyDescent="0.2">
      <c r="A893" s="347">
        <f t="shared" ca="1" si="383"/>
        <v>1E-4</v>
      </c>
      <c r="B893" s="304">
        <f t="shared" ca="1" si="384"/>
        <v>34.736200000001425</v>
      </c>
      <c r="D893" s="306">
        <f t="shared" ca="1" si="385"/>
        <v>-0.71638238012259414</v>
      </c>
      <c r="E893" s="307">
        <f t="shared" ca="1" si="386"/>
        <v>-2.0877599957639532</v>
      </c>
      <c r="F893" s="304">
        <f t="shared" ca="1" si="387"/>
        <v>2.2072484034341073</v>
      </c>
      <c r="G893" s="306">
        <f t="shared" ca="1" si="388"/>
        <v>11.27839872170097</v>
      </c>
      <c r="H893" s="307">
        <f t="shared" ca="1" si="389"/>
        <v>-121.57641921435061</v>
      </c>
      <c r="I893" s="304">
        <f t="shared" ca="1" si="390"/>
        <v>122.09843564398844</v>
      </c>
      <c r="J893" s="306">
        <f t="shared" ca="1" si="391"/>
        <v>786.02923903053897</v>
      </c>
      <c r="K893" s="307">
        <f t="shared" ca="1" si="392"/>
        <v>-12.783876451346433</v>
      </c>
      <c r="L893" s="304">
        <f t="shared" ca="1" si="377"/>
        <v>786.13318980186273</v>
      </c>
      <c r="M893" s="306">
        <f t="shared" ca="1" si="393"/>
        <v>-1.4782930991917937</v>
      </c>
      <c r="N893" s="304">
        <f t="shared" ca="1" si="394"/>
        <v>-84.699955467004145</v>
      </c>
      <c r="P893" s="310">
        <f t="shared" ca="1" si="395"/>
        <v>23</v>
      </c>
      <c r="Q893" s="304">
        <f t="shared" ca="1" si="396"/>
        <v>0</v>
      </c>
      <c r="R893" s="306">
        <f t="shared" ca="1" si="397"/>
        <v>0</v>
      </c>
      <c r="S893" s="307">
        <f t="shared" ca="1" si="398"/>
        <v>7.4799999999999969</v>
      </c>
      <c r="T893" s="304">
        <f t="shared" ca="1" si="378"/>
        <v>73.37879999999997</v>
      </c>
      <c r="U893" s="311">
        <f t="shared" ca="1" si="379"/>
        <v>0</v>
      </c>
      <c r="V893" s="306">
        <f t="shared" ca="1" si="380"/>
        <v>1.2265670264989479</v>
      </c>
      <c r="W893" s="304">
        <f t="shared" ca="1" si="381"/>
        <v>58.010637011300766</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2.0126601535326891</v>
      </c>
      <c r="AH893" s="304">
        <f t="shared" ca="1" si="405"/>
        <v>-7.7553977588240866</v>
      </c>
    </row>
    <row r="894" spans="1:34" x14ac:dyDescent="0.2">
      <c r="A894" s="347">
        <f t="shared" ca="1" si="383"/>
        <v>1E-4</v>
      </c>
      <c r="B894" s="304">
        <f t="shared" ca="1" si="384"/>
        <v>34.736300000001428</v>
      </c>
      <c r="D894" s="306">
        <f t="shared" ca="1" si="385"/>
        <v>-0.71637988164853261</v>
      </c>
      <c r="E894" s="307">
        <f t="shared" ca="1" si="386"/>
        <v>-2.0877246170196075</v>
      </c>
      <c r="F894" s="304">
        <f t="shared" ca="1" si="387"/>
        <v>2.2072141290188481</v>
      </c>
      <c r="G894" s="306">
        <f t="shared" ca="1" si="388"/>
        <v>11.278327083712805</v>
      </c>
      <c r="H894" s="307">
        <f t="shared" ca="1" si="389"/>
        <v>-121.57662798681231</v>
      </c>
      <c r="I894" s="304">
        <f t="shared" ca="1" si="390"/>
        <v>122.09863690660499</v>
      </c>
      <c r="J894" s="306">
        <f t="shared" ca="1" si="391"/>
        <v>786.02923903053897</v>
      </c>
      <c r="K894" s="307">
        <f t="shared" ca="1" si="392"/>
        <v>-12.796034103706491</v>
      </c>
      <c r="L894" s="304">
        <f t="shared" ca="1" si="377"/>
        <v>786.13338760016507</v>
      </c>
      <c r="M894" s="306">
        <f t="shared" ca="1" si="393"/>
        <v>-1.4782938413483631</v>
      </c>
      <c r="N894" s="304">
        <f t="shared" ca="1" si="394"/>
        <v>-84.699997989443304</v>
      </c>
      <c r="P894" s="310">
        <f t="shared" ca="1" si="395"/>
        <v>23</v>
      </c>
      <c r="Q894" s="304">
        <f t="shared" ca="1" si="396"/>
        <v>0</v>
      </c>
      <c r="R894" s="306">
        <f t="shared" ca="1" si="397"/>
        <v>0</v>
      </c>
      <c r="S894" s="307">
        <f t="shared" ca="1" si="398"/>
        <v>7.4799999999999969</v>
      </c>
      <c r="T894" s="304">
        <f t="shared" ca="1" si="378"/>
        <v>73.37879999999997</v>
      </c>
      <c r="U894" s="311">
        <f t="shared" ca="1" si="379"/>
        <v>0</v>
      </c>
      <c r="V894" s="306">
        <f t="shared" ca="1" si="380"/>
        <v>1.2265685177180148</v>
      </c>
      <c r="W894" s="304">
        <f t="shared" ca="1" si="381"/>
        <v>58.010898784322983</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2.0126258293593233</v>
      </c>
      <c r="AH894" s="304">
        <f t="shared" ca="1" si="405"/>
        <v>-7.7554327555214959</v>
      </c>
    </row>
    <row r="895" spans="1:34" x14ac:dyDescent="0.2">
      <c r="A895" s="347">
        <f t="shared" ca="1" si="383"/>
        <v>1E-4</v>
      </c>
      <c r="B895" s="304">
        <f t="shared" ca="1" si="384"/>
        <v>34.736400000001431</v>
      </c>
      <c r="D895" s="306">
        <f t="shared" ca="1" si="385"/>
        <v>-0.71637738314956434</v>
      </c>
      <c r="E895" s="307">
        <f t="shared" ca="1" si="386"/>
        <v>-2.0876892385826116</v>
      </c>
      <c r="F895" s="304">
        <f t="shared" ca="1" si="387"/>
        <v>2.2071798549238939</v>
      </c>
      <c r="G895" s="306">
        <f t="shared" ca="1" si="388"/>
        <v>11.278255445974489</v>
      </c>
      <c r="H895" s="307">
        <f t="shared" ca="1" si="389"/>
        <v>-121.57683675573617</v>
      </c>
      <c r="I895" s="304">
        <f t="shared" ca="1" si="390"/>
        <v>122.09883816578918</v>
      </c>
      <c r="J895" s="306">
        <f t="shared" ca="1" si="391"/>
        <v>786.02923903053897</v>
      </c>
      <c r="K895" s="307">
        <f t="shared" ca="1" si="392"/>
        <v>-12.808191776943618</v>
      </c>
      <c r="L895" s="304">
        <f t="shared" ca="1" si="377"/>
        <v>786.13358558677749</v>
      </c>
      <c r="M895" s="306">
        <f t="shared" ca="1" si="393"/>
        <v>-1.4782945834977721</v>
      </c>
      <c r="N895" s="304">
        <f t="shared" ca="1" si="394"/>
        <v>-84.70004051147221</v>
      </c>
      <c r="P895" s="310">
        <f t="shared" ca="1" si="395"/>
        <v>23</v>
      </c>
      <c r="Q895" s="304">
        <f t="shared" ca="1" si="396"/>
        <v>0</v>
      </c>
      <c r="R895" s="306">
        <f t="shared" ca="1" si="397"/>
        <v>0</v>
      </c>
      <c r="S895" s="307">
        <f t="shared" ca="1" si="398"/>
        <v>7.4799999999999969</v>
      </c>
      <c r="T895" s="304">
        <f t="shared" ca="1" si="378"/>
        <v>73.37879999999997</v>
      </c>
      <c r="U895" s="311">
        <f t="shared" ca="1" si="379"/>
        <v>0</v>
      </c>
      <c r="V895" s="306">
        <f t="shared" ca="1" si="380"/>
        <v>1.2265700089414566</v>
      </c>
      <c r="W895" s="304">
        <f t="shared" ca="1" si="381"/>
        <v>58.011160555070823</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2.0125915054781531</v>
      </c>
      <c r="AH895" s="304">
        <f t="shared" ca="1" si="405"/>
        <v>-7.7554677519148401</v>
      </c>
    </row>
    <row r="896" spans="1:34" x14ac:dyDescent="0.2">
      <c r="A896" s="347">
        <f t="shared" ca="1" si="383"/>
        <v>1E-4</v>
      </c>
      <c r="B896" s="304">
        <f t="shared" ca="1" si="384"/>
        <v>34.736500000001435</v>
      </c>
      <c r="D896" s="306">
        <f t="shared" ca="1" si="385"/>
        <v>-0.71637488462568599</v>
      </c>
      <c r="E896" s="307">
        <f t="shared" ca="1" si="386"/>
        <v>-2.0876538604529618</v>
      </c>
      <c r="F896" s="304">
        <f t="shared" ca="1" si="387"/>
        <v>2.2071455811492404</v>
      </c>
      <c r="G896" s="306">
        <f t="shared" ca="1" si="388"/>
        <v>11.278183808486027</v>
      </c>
      <c r="H896" s="307">
        <f t="shared" ca="1" si="389"/>
        <v>-121.57704552112222</v>
      </c>
      <c r="I896" s="304">
        <f t="shared" ca="1" si="390"/>
        <v>122.09903942154099</v>
      </c>
      <c r="J896" s="306">
        <f t="shared" ca="1" si="391"/>
        <v>786.02923903053897</v>
      </c>
      <c r="K896" s="307">
        <f t="shared" ca="1" si="392"/>
        <v>-12.82034947105746</v>
      </c>
      <c r="L896" s="304">
        <f t="shared" ca="1" si="377"/>
        <v>786.13378376170067</v>
      </c>
      <c r="M896" s="306">
        <f t="shared" ca="1" si="393"/>
        <v>-1.4782953256400202</v>
      </c>
      <c r="N896" s="304">
        <f t="shared" ca="1" si="394"/>
        <v>-84.700083033090834</v>
      </c>
      <c r="P896" s="310">
        <f t="shared" ca="1" si="395"/>
        <v>23</v>
      </c>
      <c r="Q896" s="304">
        <f t="shared" ca="1" si="396"/>
        <v>0</v>
      </c>
      <c r="R896" s="306">
        <f t="shared" ca="1" si="397"/>
        <v>0</v>
      </c>
      <c r="S896" s="307">
        <f t="shared" ca="1" si="398"/>
        <v>7.4799999999999969</v>
      </c>
      <c r="T896" s="304">
        <f t="shared" ca="1" si="378"/>
        <v>73.37879999999997</v>
      </c>
      <c r="U896" s="311">
        <f t="shared" ca="1" si="379"/>
        <v>0</v>
      </c>
      <c r="V896" s="306">
        <f t="shared" ca="1" si="380"/>
        <v>1.226571500169273</v>
      </c>
      <c r="W896" s="304">
        <f t="shared" ca="1" si="381"/>
        <v>58.011422323544245</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2.012557181889175</v>
      </c>
      <c r="AH896" s="304">
        <f t="shared" ca="1" si="405"/>
        <v>-7.7555027480041243</v>
      </c>
    </row>
    <row r="897" spans="1:34" x14ac:dyDescent="0.2">
      <c r="A897" s="347">
        <f t="shared" ca="1" si="383"/>
        <v>1E-4</v>
      </c>
      <c r="B897" s="304">
        <f t="shared" ca="1" si="384"/>
        <v>34.736600000001438</v>
      </c>
      <c r="D897" s="306">
        <f t="shared" ca="1" si="385"/>
        <v>-0.71637238607690357</v>
      </c>
      <c r="E897" s="307">
        <f t="shared" ca="1" si="386"/>
        <v>-2.0876184826306634</v>
      </c>
      <c r="F897" s="304">
        <f t="shared" ca="1" si="387"/>
        <v>2.2071113076948952</v>
      </c>
      <c r="G897" s="306">
        <f t="shared" ca="1" si="388"/>
        <v>11.27811217124742</v>
      </c>
      <c r="H897" s="307">
        <f t="shared" ca="1" si="389"/>
        <v>-121.57725428297047</v>
      </c>
      <c r="I897" s="304">
        <f t="shared" ca="1" si="390"/>
        <v>122.09924067386046</v>
      </c>
      <c r="J897" s="306">
        <f t="shared" ca="1" si="391"/>
        <v>786.02923903053897</v>
      </c>
      <c r="K897" s="307">
        <f t="shared" ca="1" si="392"/>
        <v>-12.832507186047664</v>
      </c>
      <c r="L897" s="304">
        <f t="shared" ca="1" si="377"/>
        <v>786.13398212493541</v>
      </c>
      <c r="M897" s="306">
        <f t="shared" ca="1" si="393"/>
        <v>-1.478296067775108</v>
      </c>
      <c r="N897" s="304">
        <f t="shared" ca="1" si="394"/>
        <v>-84.700125554299191</v>
      </c>
      <c r="P897" s="310">
        <f t="shared" ca="1" si="395"/>
        <v>23</v>
      </c>
      <c r="Q897" s="304">
        <f t="shared" ca="1" si="396"/>
        <v>0</v>
      </c>
      <c r="R897" s="306">
        <f t="shared" ca="1" si="397"/>
        <v>0</v>
      </c>
      <c r="S897" s="307">
        <f t="shared" ca="1" si="398"/>
        <v>7.4799999999999969</v>
      </c>
      <c r="T897" s="304">
        <f t="shared" ca="1" si="378"/>
        <v>73.37879999999997</v>
      </c>
      <c r="U897" s="311">
        <f t="shared" ca="1" si="379"/>
        <v>0</v>
      </c>
      <c r="V897" s="306">
        <f t="shared" ca="1" si="380"/>
        <v>1.2265729914014643</v>
      </c>
      <c r="W897" s="304">
        <f t="shared" ca="1" si="381"/>
        <v>58.01168408974327</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2.0125228585923951</v>
      </c>
      <c r="AH897" s="304">
        <f t="shared" ca="1" si="405"/>
        <v>-7.7555377437893407</v>
      </c>
    </row>
    <row r="898" spans="1:34" x14ac:dyDescent="0.2">
      <c r="A898" s="347">
        <f t="shared" ca="1" si="383"/>
        <v>1E-4</v>
      </c>
      <c r="B898" s="304">
        <f t="shared" ca="1" si="384"/>
        <v>34.736700000001441</v>
      </c>
      <c r="D898" s="306">
        <f t="shared" ca="1" si="385"/>
        <v>-0.71636988750321373</v>
      </c>
      <c r="E898" s="307">
        <f t="shared" ca="1" si="386"/>
        <v>-2.0875831051157139</v>
      </c>
      <c r="F898" s="304">
        <f t="shared" ca="1" si="387"/>
        <v>2.2070770345608537</v>
      </c>
      <c r="G898" s="306">
        <f t="shared" ca="1" si="388"/>
        <v>11.27804053425867</v>
      </c>
      <c r="H898" s="307">
        <f t="shared" ca="1" si="389"/>
        <v>-121.57746304128098</v>
      </c>
      <c r="I898" s="304">
        <f t="shared" ca="1" si="390"/>
        <v>122.09944192274764</v>
      </c>
      <c r="J898" s="306">
        <f t="shared" ca="1" si="391"/>
        <v>786.02923903053897</v>
      </c>
      <c r="K898" s="307">
        <f t="shared" ca="1" si="392"/>
        <v>-12.844664921913877</v>
      </c>
      <c r="L898" s="304">
        <f t="shared" ca="1" si="377"/>
        <v>786.13418067648252</v>
      </c>
      <c r="M898" s="306">
        <f t="shared" ca="1" si="393"/>
        <v>-1.4782968099030354</v>
      </c>
      <c r="N898" s="304">
        <f t="shared" ca="1" si="394"/>
        <v>-84.700168075097281</v>
      </c>
      <c r="P898" s="310">
        <f t="shared" ca="1" si="395"/>
        <v>23</v>
      </c>
      <c r="Q898" s="304">
        <f t="shared" ca="1" si="396"/>
        <v>0</v>
      </c>
      <c r="R898" s="306">
        <f t="shared" ca="1" si="397"/>
        <v>0</v>
      </c>
      <c r="S898" s="307">
        <f t="shared" ca="1" si="398"/>
        <v>7.4799999999999969</v>
      </c>
      <c r="T898" s="304">
        <f t="shared" ca="1" si="378"/>
        <v>73.37879999999997</v>
      </c>
      <c r="U898" s="311">
        <f t="shared" ca="1" si="379"/>
        <v>0</v>
      </c>
      <c r="V898" s="306">
        <f t="shared" ca="1" si="380"/>
        <v>1.22657448263803</v>
      </c>
      <c r="W898" s="304">
        <f t="shared" ca="1" si="381"/>
        <v>58.011945853667889</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2.012488535587809</v>
      </c>
      <c r="AH898" s="304">
        <f t="shared" ca="1" si="405"/>
        <v>-7.7555727392704936</v>
      </c>
    </row>
    <row r="899" spans="1:34" x14ac:dyDescent="0.2">
      <c r="A899" s="347">
        <f t="shared" ca="1" si="383"/>
        <v>1E-4</v>
      </c>
      <c r="B899" s="304">
        <f t="shared" ca="1" si="384"/>
        <v>34.736800000001445</v>
      </c>
      <c r="D899" s="306">
        <f t="shared" ca="1" si="385"/>
        <v>-0.7163673889046196</v>
      </c>
      <c r="E899" s="307">
        <f t="shared" ca="1" si="386"/>
        <v>-2.087547727908114</v>
      </c>
      <c r="F899" s="304">
        <f t="shared" ca="1" si="387"/>
        <v>2.2070427617471196</v>
      </c>
      <c r="G899" s="306">
        <f t="shared" ca="1" si="388"/>
        <v>11.277968897519779</v>
      </c>
      <c r="H899" s="307">
        <f t="shared" ca="1" si="389"/>
        <v>-121.57767179605376</v>
      </c>
      <c r="I899" s="304">
        <f t="shared" ca="1" si="390"/>
        <v>122.09964316820255</v>
      </c>
      <c r="J899" s="306">
        <f t="shared" ca="1" si="391"/>
        <v>786.02923903053897</v>
      </c>
      <c r="K899" s="307">
        <f t="shared" ca="1" si="392"/>
        <v>-12.856822678655744</v>
      </c>
      <c r="L899" s="304">
        <f t="shared" ca="1" si="377"/>
        <v>786.13437941634288</v>
      </c>
      <c r="M899" s="306">
        <f t="shared" ca="1" si="393"/>
        <v>-1.4782975520238026</v>
      </c>
      <c r="N899" s="304">
        <f t="shared" ca="1" si="394"/>
        <v>-84.700210595485146</v>
      </c>
      <c r="P899" s="310">
        <f t="shared" ca="1" si="395"/>
        <v>23</v>
      </c>
      <c r="Q899" s="304">
        <f t="shared" ca="1" si="396"/>
        <v>0</v>
      </c>
      <c r="R899" s="306">
        <f t="shared" ca="1" si="397"/>
        <v>0</v>
      </c>
      <c r="S899" s="307">
        <f t="shared" ca="1" si="398"/>
        <v>7.4799999999999969</v>
      </c>
      <c r="T899" s="304">
        <f t="shared" ca="1" si="378"/>
        <v>73.37879999999997</v>
      </c>
      <c r="U899" s="311">
        <f t="shared" ca="1" si="379"/>
        <v>0</v>
      </c>
      <c r="V899" s="306">
        <f t="shared" ca="1" si="380"/>
        <v>1.2265759738789708</v>
      </c>
      <c r="W899" s="304">
        <f t="shared" ca="1" si="381"/>
        <v>58.01220761531814</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2.012454212875423</v>
      </c>
      <c r="AH899" s="304">
        <f t="shared" ca="1" si="405"/>
        <v>-7.7556077344475822</v>
      </c>
    </row>
    <row r="900" spans="1:34" x14ac:dyDescent="0.2">
      <c r="A900" s="347">
        <f t="shared" ca="1" si="383"/>
        <v>1E-4</v>
      </c>
      <c r="B900" s="304">
        <f t="shared" ca="1" si="384"/>
        <v>34.736900000001448</v>
      </c>
      <c r="D900" s="306">
        <f t="shared" ca="1" si="385"/>
        <v>-0.71636489028111938</v>
      </c>
      <c r="E900" s="307">
        <f t="shared" ca="1" si="386"/>
        <v>-2.0875123510078604</v>
      </c>
      <c r="F900" s="304">
        <f t="shared" ca="1" si="387"/>
        <v>2.2070084892536879</v>
      </c>
      <c r="G900" s="306">
        <f t="shared" ca="1" si="388"/>
        <v>11.27789726103075</v>
      </c>
      <c r="H900" s="307">
        <f t="shared" ca="1" si="389"/>
        <v>-121.57788054728887</v>
      </c>
      <c r="I900" s="304">
        <f t="shared" ca="1" si="390"/>
        <v>122.09984441022522</v>
      </c>
      <c r="J900" s="306">
        <f t="shared" ca="1" si="391"/>
        <v>786.02923903053897</v>
      </c>
      <c r="K900" s="307">
        <f t="shared" ca="1" si="392"/>
        <v>-12.868980456272912</v>
      </c>
      <c r="L900" s="304">
        <f t="shared" ref="L900:L963" ca="1" si="406">SQRT(pos_x^2+pos_z^2)</f>
        <v>786.13457834451742</v>
      </c>
      <c r="M900" s="306">
        <f t="shared" ca="1" si="393"/>
        <v>-1.4782982941374097</v>
      </c>
      <c r="N900" s="304">
        <f t="shared" ca="1" si="394"/>
        <v>-84.700253115462743</v>
      </c>
      <c r="P900" s="310">
        <f t="shared" ca="1" si="395"/>
        <v>23</v>
      </c>
      <c r="Q900" s="304">
        <f t="shared" ca="1" si="396"/>
        <v>0</v>
      </c>
      <c r="R900" s="306">
        <f t="shared" ca="1" si="397"/>
        <v>0</v>
      </c>
      <c r="S900" s="307">
        <f t="shared" ca="1" si="398"/>
        <v>7.4799999999999969</v>
      </c>
      <c r="T900" s="304">
        <f t="shared" ref="T900:T963" ca="1" si="407">m*g</f>
        <v>73.37879999999997</v>
      </c>
      <c r="U900" s="311">
        <f t="shared" ref="U900:U963" ca="1" si="408">IF(pos_xz&lt;L_rampe,Poids*COS(Beta),0)</f>
        <v>0</v>
      </c>
      <c r="V900" s="306">
        <f t="shared" ref="V900:V963" ca="1" si="409">Rho_moyen*(20000-Alt_rampe-pos_z)/(20000+Alt_rampe+pos_z)</f>
        <v>1.2265774651242864</v>
      </c>
      <c r="W900" s="304">
        <f t="shared" ref="W900:W963" ca="1" si="410">1/2*Rho*Sref*Cx*vit_xz^2</f>
        <v>58.012469374694007</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2.0124198904552264</v>
      </c>
      <c r="AH900" s="304">
        <f t="shared" ca="1" si="405"/>
        <v>-7.7556427293206101</v>
      </c>
    </row>
    <row r="901" spans="1:34" x14ac:dyDescent="0.2">
      <c r="A901" s="347">
        <f t="shared" ref="A901:A964" ca="1" si="412">IF(B900+0.01&lt;=T_ini+ROUNDUP(Temps_fin_propu,0), 0.01, IF(K900&gt;0, 0.1, 0.0001))</f>
        <v>1E-4</v>
      </c>
      <c r="B901" s="304">
        <f t="shared" ref="B901:B964" ca="1" si="413">B900+pas</f>
        <v>34.737000000001451</v>
      </c>
      <c r="D901" s="306">
        <f t="shared" ref="D901:D964" ca="1" si="414">IF(AND(L900&lt;L_rampe,Poussee&lt;Poids*SIN(M900)),0,(-W900+Poussee)/m*COS(M900)-U900/m*SIN(M900))</f>
        <v>-0.71636239163271609</v>
      </c>
      <c r="E901" s="307">
        <f t="shared" ref="E901:E964" ca="1" si="415">IF(AND(L900&lt;L_rampe,Poussee&lt;Poids*SIN(M900)),0,(-W900+Poussee)/m*SIN(M900)+U900/m*COS(M900)-Poids/m)</f>
        <v>-2.0874769744149519</v>
      </c>
      <c r="F901" s="304">
        <f t="shared" ref="F901:F964" ca="1" si="416">SQRT(acc_x^2+acc_z^2)</f>
        <v>2.2069742170805591</v>
      </c>
      <c r="G901" s="306">
        <f t="shared" ref="G901:G964" ca="1" si="417">G900+acc_x*pas</f>
        <v>11.277825624791587</v>
      </c>
      <c r="H901" s="307">
        <f t="shared" ref="H901:H964" ca="1" si="418">H900+acc_z*pas</f>
        <v>-121.57808929498631</v>
      </c>
      <c r="I901" s="304">
        <f t="shared" ref="I901:I964" ca="1" si="419">SQRT(vit_x^2+vit_z^2)</f>
        <v>122.10004564881568</v>
      </c>
      <c r="J901" s="306">
        <f t="shared" ref="J901:J964" ca="1" si="420">J900+0.5*(vit_x+G900)*pas*(K900&gt;=0)</f>
        <v>786.02923903053897</v>
      </c>
      <c r="K901" s="307">
        <f t="shared" ref="K901:K964" ca="1" si="421">K900+0.5*(vit_z+H900)*pas</f>
        <v>-12.881138254765025</v>
      </c>
      <c r="L901" s="304">
        <f t="shared" ca="1" si="406"/>
        <v>786.13477746100671</v>
      </c>
      <c r="M901" s="306">
        <f t="shared" ref="M901:M964" ca="1" si="422">IF(AND(L900&gt;L_rampe,G901&gt;0),ATAN2(G901,H901),$M$4)</f>
        <v>-1.4782990362438566</v>
      </c>
      <c r="N901" s="304">
        <f t="shared" ref="N901:N964" ca="1" si="423">DEGREES(Beta)</f>
        <v>-84.700295635030102</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7.4799999999999969</v>
      </c>
      <c r="T901" s="304">
        <f t="shared" ca="1" si="407"/>
        <v>73.37879999999997</v>
      </c>
      <c r="U901" s="311">
        <f t="shared" ca="1" si="408"/>
        <v>0</v>
      </c>
      <c r="V901" s="306">
        <f t="shared" ca="1" si="409"/>
        <v>1.2265789563739764</v>
      </c>
      <c r="W901" s="304">
        <f t="shared" ca="1" si="410"/>
        <v>58.012731131795483</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2.0123855683272254</v>
      </c>
      <c r="AH901" s="304">
        <f t="shared" ref="AH901:AH964" ca="1" si="434">IF(AND(L900&lt;L_rampe,Poussee&lt;Poids*SIN(M900)), g*SIN(M900), (-W900+Poussee)/m)</f>
        <v>-7.7556777238895762</v>
      </c>
    </row>
    <row r="902" spans="1:34" x14ac:dyDescent="0.2">
      <c r="A902" s="347">
        <f t="shared" ca="1" si="412"/>
        <v>1E-4</v>
      </c>
      <c r="B902" s="304">
        <f t="shared" ca="1" si="413"/>
        <v>34.737100000001455</v>
      </c>
      <c r="D902" s="306">
        <f t="shared" ca="1" si="414"/>
        <v>-0.71635989295940949</v>
      </c>
      <c r="E902" s="307">
        <f t="shared" ca="1" si="415"/>
        <v>-2.0874415981293915</v>
      </c>
      <c r="F902" s="304">
        <f t="shared" ca="1" si="416"/>
        <v>2.2069399452277363</v>
      </c>
      <c r="G902" s="306">
        <f t="shared" ca="1" si="417"/>
        <v>11.277753988802292</v>
      </c>
      <c r="H902" s="307">
        <f t="shared" ca="1" si="418"/>
        <v>-121.57829803914612</v>
      </c>
      <c r="I902" s="304">
        <f t="shared" ca="1" si="419"/>
        <v>122.10024688397394</v>
      </c>
      <c r="J902" s="306">
        <f t="shared" ca="1" si="420"/>
        <v>786.02923903053897</v>
      </c>
      <c r="K902" s="307">
        <f t="shared" ca="1" si="421"/>
        <v>-12.893296074131731</v>
      </c>
      <c r="L902" s="304">
        <f t="shared" ca="1" si="406"/>
        <v>786.13497676581176</v>
      </c>
      <c r="M902" s="306">
        <f t="shared" ca="1" si="422"/>
        <v>-1.4782997783431435</v>
      </c>
      <c r="N902" s="304">
        <f t="shared" ca="1" si="423"/>
        <v>-84.700338154187222</v>
      </c>
      <c r="P902" s="310">
        <f t="shared" ca="1" si="424"/>
        <v>23</v>
      </c>
      <c r="Q902" s="304">
        <f t="shared" ca="1" si="425"/>
        <v>0</v>
      </c>
      <c r="R902" s="306">
        <f t="shared" ca="1" si="426"/>
        <v>0</v>
      </c>
      <c r="S902" s="307">
        <f t="shared" ca="1" si="427"/>
        <v>7.4799999999999969</v>
      </c>
      <c r="T902" s="304">
        <f t="shared" ca="1" si="407"/>
        <v>73.37879999999997</v>
      </c>
      <c r="U902" s="311">
        <f t="shared" ca="1" si="408"/>
        <v>0</v>
      </c>
      <c r="V902" s="306">
        <f t="shared" ca="1" si="409"/>
        <v>1.2265804476280413</v>
      </c>
      <c r="W902" s="304">
        <f t="shared" ca="1" si="410"/>
        <v>58.01299288662257</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2.0123512464914208</v>
      </c>
      <c r="AH902" s="304">
        <f t="shared" ca="1" si="434"/>
        <v>-7.7557127181544798</v>
      </c>
    </row>
    <row r="903" spans="1:34" x14ac:dyDescent="0.2">
      <c r="A903" s="347">
        <f t="shared" ca="1" si="412"/>
        <v>1E-4</v>
      </c>
      <c r="B903" s="304">
        <f t="shared" ca="1" si="413"/>
        <v>34.737200000001458</v>
      </c>
      <c r="D903" s="306">
        <f t="shared" ca="1" si="414"/>
        <v>-0.71635739426120093</v>
      </c>
      <c r="E903" s="307">
        <f t="shared" ca="1" si="415"/>
        <v>-2.0874062221511798</v>
      </c>
      <c r="F903" s="304">
        <f t="shared" ca="1" si="416"/>
        <v>2.2069056736952213</v>
      </c>
      <c r="G903" s="306">
        <f t="shared" ca="1" si="417"/>
        <v>11.277682353062866</v>
      </c>
      <c r="H903" s="307">
        <f t="shared" ca="1" si="418"/>
        <v>-121.57850677976833</v>
      </c>
      <c r="I903" s="304">
        <f t="shared" ca="1" si="419"/>
        <v>122.10044811570005</v>
      </c>
      <c r="J903" s="306">
        <f t="shared" ca="1" si="420"/>
        <v>786.02923903053897</v>
      </c>
      <c r="K903" s="307">
        <f t="shared" ca="1" si="421"/>
        <v>-12.905453914372677</v>
      </c>
      <c r="L903" s="304">
        <f t="shared" ca="1" si="406"/>
        <v>786.13517625893337</v>
      </c>
      <c r="M903" s="306">
        <f t="shared" ca="1" si="422"/>
        <v>-1.4783005204352708</v>
      </c>
      <c r="N903" s="304">
        <f t="shared" ca="1" si="423"/>
        <v>-84.700380672934131</v>
      </c>
      <c r="P903" s="310">
        <f t="shared" ca="1" si="424"/>
        <v>23</v>
      </c>
      <c r="Q903" s="304">
        <f t="shared" ca="1" si="425"/>
        <v>0</v>
      </c>
      <c r="R903" s="306">
        <f t="shared" ca="1" si="426"/>
        <v>0</v>
      </c>
      <c r="S903" s="307">
        <f t="shared" ca="1" si="427"/>
        <v>7.4799999999999969</v>
      </c>
      <c r="T903" s="304">
        <f t="shared" ca="1" si="407"/>
        <v>73.37879999999997</v>
      </c>
      <c r="U903" s="311">
        <f t="shared" ca="1" si="408"/>
        <v>0</v>
      </c>
      <c r="V903" s="306">
        <f t="shared" ca="1" si="409"/>
        <v>1.2265819388864805</v>
      </c>
      <c r="W903" s="304">
        <f t="shared" ca="1" si="410"/>
        <v>58.013254639175265</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2.0123169249478101</v>
      </c>
      <c r="AH903" s="304">
        <f t="shared" ca="1" si="434"/>
        <v>-7.75574771211532</v>
      </c>
    </row>
    <row r="904" spans="1:34" x14ac:dyDescent="0.2">
      <c r="A904" s="347">
        <f t="shared" ca="1" si="412"/>
        <v>1E-4</v>
      </c>
      <c r="B904" s="304">
        <f t="shared" ca="1" si="413"/>
        <v>34.737300000001461</v>
      </c>
      <c r="D904" s="306">
        <f t="shared" ca="1" si="414"/>
        <v>-0.7163548955380884</v>
      </c>
      <c r="E904" s="307">
        <f t="shared" ca="1" si="415"/>
        <v>-2.0873708464803151</v>
      </c>
      <c r="F904" s="304">
        <f t="shared" ca="1" si="416"/>
        <v>2.2068714024830114</v>
      </c>
      <c r="G904" s="306">
        <f t="shared" ca="1" si="417"/>
        <v>11.277610717573312</v>
      </c>
      <c r="H904" s="307">
        <f t="shared" ca="1" si="418"/>
        <v>-121.57871551685298</v>
      </c>
      <c r="I904" s="304">
        <f t="shared" ca="1" si="419"/>
        <v>122.10064934399404</v>
      </c>
      <c r="J904" s="306">
        <f t="shared" ca="1" si="420"/>
        <v>786.02923903053897</v>
      </c>
      <c r="K904" s="307">
        <f t="shared" ca="1" si="421"/>
        <v>-12.917611775487508</v>
      </c>
      <c r="L904" s="304">
        <f t="shared" ca="1" si="406"/>
        <v>786.13537594037223</v>
      </c>
      <c r="M904" s="306">
        <f t="shared" ca="1" si="422"/>
        <v>-1.4783012625202381</v>
      </c>
      <c r="N904" s="304">
        <f t="shared" ca="1" si="423"/>
        <v>-84.700423191270787</v>
      </c>
      <c r="P904" s="310">
        <f t="shared" ca="1" si="424"/>
        <v>23</v>
      </c>
      <c r="Q904" s="304">
        <f t="shared" ca="1" si="425"/>
        <v>0</v>
      </c>
      <c r="R904" s="306">
        <f t="shared" ca="1" si="426"/>
        <v>0</v>
      </c>
      <c r="S904" s="307">
        <f t="shared" ca="1" si="427"/>
        <v>7.4799999999999969</v>
      </c>
      <c r="T904" s="304">
        <f t="shared" ca="1" si="407"/>
        <v>73.37879999999997</v>
      </c>
      <c r="U904" s="311">
        <f t="shared" ca="1" si="408"/>
        <v>0</v>
      </c>
      <c r="V904" s="306">
        <f t="shared" ca="1" si="409"/>
        <v>1.2265834301492944</v>
      </c>
      <c r="W904" s="304">
        <f t="shared" ca="1" si="410"/>
        <v>58.013516389453585</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2.0122826036963959</v>
      </c>
      <c r="AH904" s="304">
        <f t="shared" ca="1" si="434"/>
        <v>-7.7557827057720976</v>
      </c>
    </row>
    <row r="905" spans="1:34" x14ac:dyDescent="0.2">
      <c r="A905" s="347">
        <f t="shared" ca="1" si="412"/>
        <v>1E-4</v>
      </c>
      <c r="B905" s="304">
        <f t="shared" ca="1" si="413"/>
        <v>34.737400000001465</v>
      </c>
      <c r="D905" s="306">
        <f t="shared" ca="1" si="414"/>
        <v>-0.71635239679007701</v>
      </c>
      <c r="E905" s="307">
        <f t="shared" ca="1" si="415"/>
        <v>-2.0873354711167957</v>
      </c>
      <c r="F905" s="304">
        <f t="shared" ca="1" si="416"/>
        <v>2.2068371315911066</v>
      </c>
      <c r="G905" s="306">
        <f t="shared" ca="1" si="417"/>
        <v>11.277539082333632</v>
      </c>
      <c r="H905" s="307">
        <f t="shared" ca="1" si="418"/>
        <v>-121.57892425040009</v>
      </c>
      <c r="I905" s="304">
        <f t="shared" ca="1" si="419"/>
        <v>122.10085056885593</v>
      </c>
      <c r="J905" s="306">
        <f t="shared" ca="1" si="420"/>
        <v>786.02923903053897</v>
      </c>
      <c r="K905" s="307">
        <f t="shared" ca="1" si="421"/>
        <v>-12.929769657475871</v>
      </c>
      <c r="L905" s="304">
        <f t="shared" ca="1" si="406"/>
        <v>786.13557581012935</v>
      </c>
      <c r="M905" s="306">
        <f t="shared" ca="1" si="422"/>
        <v>-1.4783020045980459</v>
      </c>
      <c r="N905" s="304">
        <f t="shared" ca="1" si="423"/>
        <v>-84.700465709197246</v>
      </c>
      <c r="P905" s="310">
        <f t="shared" ca="1" si="424"/>
        <v>23</v>
      </c>
      <c r="Q905" s="304">
        <f t="shared" ca="1" si="425"/>
        <v>0</v>
      </c>
      <c r="R905" s="306">
        <f t="shared" ca="1" si="426"/>
        <v>0</v>
      </c>
      <c r="S905" s="307">
        <f t="shared" ca="1" si="427"/>
        <v>7.4799999999999969</v>
      </c>
      <c r="T905" s="304">
        <f t="shared" ca="1" si="407"/>
        <v>73.37879999999997</v>
      </c>
      <c r="U905" s="311">
        <f t="shared" ca="1" si="408"/>
        <v>0</v>
      </c>
      <c r="V905" s="306">
        <f t="shared" ca="1" si="409"/>
        <v>1.2265849214164828</v>
      </c>
      <c r="W905" s="304">
        <f t="shared" ca="1" si="410"/>
        <v>58.013778137457528</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2.0122482827371764</v>
      </c>
      <c r="AH905" s="304">
        <f t="shared" ca="1" si="434"/>
        <v>-7.7558176991248144</v>
      </c>
    </row>
    <row r="906" spans="1:34" x14ac:dyDescent="0.2">
      <c r="A906" s="347">
        <f t="shared" ca="1" si="412"/>
        <v>1E-4</v>
      </c>
      <c r="B906" s="304">
        <f t="shared" ca="1" si="413"/>
        <v>34.737500000001468</v>
      </c>
      <c r="D906" s="306">
        <f t="shared" ca="1" si="414"/>
        <v>-0.71634989801716298</v>
      </c>
      <c r="E906" s="307">
        <f t="shared" ca="1" si="415"/>
        <v>-2.0873000960606243</v>
      </c>
      <c r="F906" s="304">
        <f t="shared" ca="1" si="416"/>
        <v>2.2068028610195092</v>
      </c>
      <c r="G906" s="306">
        <f t="shared" ca="1" si="417"/>
        <v>11.277467447343831</v>
      </c>
      <c r="H906" s="307">
        <f t="shared" ca="1" si="418"/>
        <v>-121.5791329804097</v>
      </c>
      <c r="I906" s="304">
        <f t="shared" ca="1" si="419"/>
        <v>122.10105179028577</v>
      </c>
      <c r="J906" s="306">
        <f t="shared" ca="1" si="420"/>
        <v>786.02923903053897</v>
      </c>
      <c r="K906" s="307">
        <f t="shared" ca="1" si="421"/>
        <v>-12.941927560337412</v>
      </c>
      <c r="L906" s="304">
        <f t="shared" ca="1" si="406"/>
        <v>786.13577586820531</v>
      </c>
      <c r="M906" s="306">
        <f t="shared" ca="1" si="422"/>
        <v>-1.4783027466686942</v>
      </c>
      <c r="N906" s="304">
        <f t="shared" ca="1" si="423"/>
        <v>-84.700508226713495</v>
      </c>
      <c r="P906" s="310">
        <f t="shared" ca="1" si="424"/>
        <v>23</v>
      </c>
      <c r="Q906" s="304">
        <f t="shared" ca="1" si="425"/>
        <v>0</v>
      </c>
      <c r="R906" s="306">
        <f t="shared" ca="1" si="426"/>
        <v>0</v>
      </c>
      <c r="S906" s="307">
        <f t="shared" ca="1" si="427"/>
        <v>7.4799999999999969</v>
      </c>
      <c r="T906" s="304">
        <f t="shared" ca="1" si="407"/>
        <v>73.37879999999997</v>
      </c>
      <c r="U906" s="311">
        <f t="shared" ca="1" si="408"/>
        <v>0</v>
      </c>
      <c r="V906" s="306">
        <f t="shared" ca="1" si="409"/>
        <v>1.2265864126880457</v>
      </c>
      <c r="W906" s="304">
        <f t="shared" ca="1" si="410"/>
        <v>58.014039883187095</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2.0122139620701525</v>
      </c>
      <c r="AH906" s="304">
        <f t="shared" ca="1" si="434"/>
        <v>-7.7558526921734696</v>
      </c>
    </row>
    <row r="907" spans="1:34" x14ac:dyDescent="0.2">
      <c r="A907" s="347">
        <f t="shared" ca="1" si="412"/>
        <v>1E-4</v>
      </c>
      <c r="B907" s="304">
        <f t="shared" ca="1" si="413"/>
        <v>34.737600000001471</v>
      </c>
      <c r="D907" s="306">
        <f t="shared" ca="1" si="414"/>
        <v>-0.71634739921934942</v>
      </c>
      <c r="E907" s="307">
        <f t="shared" ca="1" si="415"/>
        <v>-2.0872647213117972</v>
      </c>
      <c r="F907" s="304">
        <f t="shared" ca="1" si="416"/>
        <v>2.2067685907682164</v>
      </c>
      <c r="G907" s="306">
        <f t="shared" ca="1" si="417"/>
        <v>11.27739581260391</v>
      </c>
      <c r="H907" s="307">
        <f t="shared" ca="1" si="418"/>
        <v>-121.57934170688183</v>
      </c>
      <c r="I907" s="304">
        <f t="shared" ca="1" si="419"/>
        <v>122.10125300828355</v>
      </c>
      <c r="J907" s="306">
        <f t="shared" ca="1" si="420"/>
        <v>786.02923903053897</v>
      </c>
      <c r="K907" s="307">
        <f t="shared" ca="1" si="421"/>
        <v>-12.954085484071776</v>
      </c>
      <c r="L907" s="304">
        <f t="shared" ca="1" si="406"/>
        <v>786.13597611460125</v>
      </c>
      <c r="M907" s="306">
        <f t="shared" ca="1" si="422"/>
        <v>-1.4783034887321829</v>
      </c>
      <c r="N907" s="304">
        <f t="shared" ca="1" si="423"/>
        <v>-84.700550743819534</v>
      </c>
      <c r="P907" s="310">
        <f t="shared" ca="1" si="424"/>
        <v>23</v>
      </c>
      <c r="Q907" s="304">
        <f t="shared" ca="1" si="425"/>
        <v>0</v>
      </c>
      <c r="R907" s="306">
        <f t="shared" ca="1" si="426"/>
        <v>0</v>
      </c>
      <c r="S907" s="307">
        <f t="shared" ca="1" si="427"/>
        <v>7.4799999999999969</v>
      </c>
      <c r="T907" s="304">
        <f t="shared" ca="1" si="407"/>
        <v>73.37879999999997</v>
      </c>
      <c r="U907" s="311">
        <f t="shared" ca="1" si="408"/>
        <v>0</v>
      </c>
      <c r="V907" s="306">
        <f t="shared" ca="1" si="409"/>
        <v>1.2265879039639831</v>
      </c>
      <c r="W907" s="304">
        <f t="shared" ca="1" si="410"/>
        <v>58.014301626642279</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2.0121796416953215</v>
      </c>
      <c r="AH907" s="304">
        <f t="shared" ca="1" si="434"/>
        <v>-7.755887684918064</v>
      </c>
    </row>
    <row r="908" spans="1:34" x14ac:dyDescent="0.2">
      <c r="A908" s="347">
        <f t="shared" ca="1" si="412"/>
        <v>1E-4</v>
      </c>
      <c r="B908" s="304">
        <f t="shared" ca="1" si="413"/>
        <v>34.737700000001475</v>
      </c>
      <c r="D908" s="306">
        <f t="shared" ca="1" si="414"/>
        <v>-0.7163449003966379</v>
      </c>
      <c r="E908" s="307">
        <f t="shared" ca="1" si="415"/>
        <v>-2.0872293468703171</v>
      </c>
      <c r="F908" s="304">
        <f t="shared" ca="1" si="416"/>
        <v>2.2067343208372319</v>
      </c>
      <c r="G908" s="306">
        <f t="shared" ca="1" si="417"/>
        <v>11.27732417811387</v>
      </c>
      <c r="H908" s="307">
        <f t="shared" ca="1" si="418"/>
        <v>-121.57955042981652</v>
      </c>
      <c r="I908" s="304">
        <f t="shared" ca="1" si="419"/>
        <v>122.10145422284933</v>
      </c>
      <c r="J908" s="306">
        <f t="shared" ca="1" si="420"/>
        <v>786.02923903053897</v>
      </c>
      <c r="K908" s="307">
        <f t="shared" ca="1" si="421"/>
        <v>-12.966243428678611</v>
      </c>
      <c r="L908" s="304">
        <f t="shared" ca="1" si="406"/>
        <v>786.13617654931772</v>
      </c>
      <c r="M908" s="306">
        <f t="shared" ca="1" si="422"/>
        <v>-1.4783042307885124</v>
      </c>
      <c r="N908" s="304">
        <f t="shared" ca="1" si="423"/>
        <v>-84.700593260515362</v>
      </c>
      <c r="P908" s="310">
        <f t="shared" ca="1" si="424"/>
        <v>23</v>
      </c>
      <c r="Q908" s="304">
        <f t="shared" ca="1" si="425"/>
        <v>0</v>
      </c>
      <c r="R908" s="306">
        <f t="shared" ca="1" si="426"/>
        <v>0</v>
      </c>
      <c r="S908" s="307">
        <f t="shared" ca="1" si="427"/>
        <v>7.4799999999999969</v>
      </c>
      <c r="T908" s="304">
        <f t="shared" ca="1" si="407"/>
        <v>73.37879999999997</v>
      </c>
      <c r="U908" s="311">
        <f t="shared" ca="1" si="408"/>
        <v>0</v>
      </c>
      <c r="V908" s="306">
        <f t="shared" ca="1" si="409"/>
        <v>1.2265893952442954</v>
      </c>
      <c r="W908" s="304">
        <f t="shared" ca="1" si="410"/>
        <v>58.014563367823101</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2.0121453216126879</v>
      </c>
      <c r="AH908" s="304">
        <f t="shared" ca="1" si="434"/>
        <v>-7.7559226773585968</v>
      </c>
    </row>
    <row r="909" spans="1:34" x14ac:dyDescent="0.2">
      <c r="A909" s="347">
        <f t="shared" ca="1" si="412"/>
        <v>1E-4</v>
      </c>
      <c r="B909" s="304">
        <f t="shared" ca="1" si="413"/>
        <v>34.737800000001478</v>
      </c>
      <c r="D909" s="306">
        <f t="shared" ca="1" si="414"/>
        <v>-0.7163424015490264</v>
      </c>
      <c r="E909" s="307">
        <f t="shared" ca="1" si="415"/>
        <v>-2.0871939727361806</v>
      </c>
      <c r="F909" s="304">
        <f t="shared" ca="1" si="416"/>
        <v>2.206700051226552</v>
      </c>
      <c r="G909" s="306">
        <f t="shared" ca="1" si="417"/>
        <v>11.277252543873715</v>
      </c>
      <c r="H909" s="307">
        <f t="shared" ca="1" si="418"/>
        <v>-121.5797591492138</v>
      </c>
      <c r="I909" s="304">
        <f t="shared" ca="1" si="419"/>
        <v>122.10165543398314</v>
      </c>
      <c r="J909" s="306">
        <f t="shared" ca="1" si="420"/>
        <v>786.02923903053897</v>
      </c>
      <c r="K909" s="307">
        <f t="shared" ca="1" si="421"/>
        <v>-12.978401394157563</v>
      </c>
      <c r="L909" s="304">
        <f t="shared" ca="1" si="406"/>
        <v>786.13637717235554</v>
      </c>
      <c r="M909" s="306">
        <f t="shared" ca="1" si="422"/>
        <v>-1.4783049728376825</v>
      </c>
      <c r="N909" s="304">
        <f t="shared" ca="1" si="423"/>
        <v>-84.700635776801008</v>
      </c>
      <c r="P909" s="310">
        <f t="shared" ca="1" si="424"/>
        <v>23</v>
      </c>
      <c r="Q909" s="304">
        <f t="shared" ca="1" si="425"/>
        <v>0</v>
      </c>
      <c r="R909" s="306">
        <f t="shared" ca="1" si="426"/>
        <v>0</v>
      </c>
      <c r="S909" s="307">
        <f t="shared" ca="1" si="427"/>
        <v>7.4799999999999969</v>
      </c>
      <c r="T909" s="304">
        <f t="shared" ca="1" si="407"/>
        <v>73.37879999999997</v>
      </c>
      <c r="U909" s="311">
        <f t="shared" ca="1" si="408"/>
        <v>0</v>
      </c>
      <c r="V909" s="306">
        <f t="shared" ca="1" si="409"/>
        <v>1.2265908865289816</v>
      </c>
      <c r="W909" s="304">
        <f t="shared" ca="1" si="410"/>
        <v>58.014825106729539</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2.0121110018222472</v>
      </c>
      <c r="AH909" s="304">
        <f t="shared" ca="1" si="434"/>
        <v>-7.7559576694950705</v>
      </c>
    </row>
    <row r="910" spans="1:34" x14ac:dyDescent="0.2">
      <c r="A910" s="347">
        <f t="shared" ca="1" si="412"/>
        <v>1E-4</v>
      </c>
      <c r="B910" s="304">
        <f t="shared" ca="1" si="413"/>
        <v>34.737900000001481</v>
      </c>
      <c r="D910" s="306">
        <f t="shared" ca="1" si="414"/>
        <v>-0.71633990267651781</v>
      </c>
      <c r="E910" s="307">
        <f t="shared" ca="1" si="415"/>
        <v>-2.0871585989093919</v>
      </c>
      <c r="F910" s="304">
        <f t="shared" ca="1" si="416"/>
        <v>2.2066657819361812</v>
      </c>
      <c r="G910" s="306">
        <f t="shared" ca="1" si="417"/>
        <v>11.277180909883446</v>
      </c>
      <c r="H910" s="307">
        <f t="shared" ca="1" si="418"/>
        <v>-121.57996786507368</v>
      </c>
      <c r="I910" s="304">
        <f t="shared" ca="1" si="419"/>
        <v>122.10185664168498</v>
      </c>
      <c r="J910" s="306">
        <f t="shared" ca="1" si="420"/>
        <v>786.02923903053897</v>
      </c>
      <c r="K910" s="307">
        <f t="shared" ca="1" si="421"/>
        <v>-12.990559380508278</v>
      </c>
      <c r="L910" s="304">
        <f t="shared" ca="1" si="406"/>
        <v>786.13657798371571</v>
      </c>
      <c r="M910" s="306">
        <f t="shared" ca="1" si="422"/>
        <v>-1.4783057148796934</v>
      </c>
      <c r="N910" s="304">
        <f t="shared" ca="1" si="423"/>
        <v>-84.700678292676457</v>
      </c>
      <c r="P910" s="310">
        <f t="shared" ca="1" si="424"/>
        <v>23</v>
      </c>
      <c r="Q910" s="304">
        <f t="shared" ca="1" si="425"/>
        <v>0</v>
      </c>
      <c r="R910" s="306">
        <f t="shared" ca="1" si="426"/>
        <v>0</v>
      </c>
      <c r="S910" s="307">
        <f t="shared" ca="1" si="427"/>
        <v>7.4799999999999969</v>
      </c>
      <c r="T910" s="304">
        <f t="shared" ca="1" si="407"/>
        <v>73.37879999999997</v>
      </c>
      <c r="U910" s="311">
        <f t="shared" ca="1" si="408"/>
        <v>0</v>
      </c>
      <c r="V910" s="306">
        <f t="shared" ca="1" si="409"/>
        <v>1.2265923778180425</v>
      </c>
      <c r="W910" s="304">
        <f t="shared" ca="1" si="410"/>
        <v>58.015086843361594</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2.0120766823240031</v>
      </c>
      <c r="AH910" s="304">
        <f t="shared" ca="1" si="434"/>
        <v>-7.7559926613274817</v>
      </c>
    </row>
    <row r="911" spans="1:34" x14ac:dyDescent="0.2">
      <c r="A911" s="347">
        <f t="shared" ca="1" si="412"/>
        <v>1E-4</v>
      </c>
      <c r="B911" s="304">
        <f t="shared" ca="1" si="413"/>
        <v>34.738000000001485</v>
      </c>
      <c r="D911" s="306">
        <f t="shared" ca="1" si="414"/>
        <v>-0.71633740377911215</v>
      </c>
      <c r="E911" s="307">
        <f t="shared" ca="1" si="415"/>
        <v>-2.0871232253899503</v>
      </c>
      <c r="F911" s="304">
        <f t="shared" ca="1" si="416"/>
        <v>2.20663151296612</v>
      </c>
      <c r="G911" s="306">
        <f t="shared" ca="1" si="417"/>
        <v>11.277109276143069</v>
      </c>
      <c r="H911" s="307">
        <f t="shared" ca="1" si="418"/>
        <v>-121.58017657739622</v>
      </c>
      <c r="I911" s="304">
        <f t="shared" ca="1" si="419"/>
        <v>122.10205784595489</v>
      </c>
      <c r="J911" s="306">
        <f t="shared" ca="1" si="420"/>
        <v>786.02923903053897</v>
      </c>
      <c r="K911" s="307">
        <f t="shared" ca="1" si="421"/>
        <v>-13.002717387730401</v>
      </c>
      <c r="L911" s="304">
        <f t="shared" ca="1" si="406"/>
        <v>786.13677898339893</v>
      </c>
      <c r="M911" s="306">
        <f t="shared" ca="1" si="422"/>
        <v>-1.4783064569145454</v>
      </c>
      <c r="N911" s="304">
        <f t="shared" ca="1" si="423"/>
        <v>-84.700720808141725</v>
      </c>
      <c r="P911" s="310">
        <f t="shared" ca="1" si="424"/>
        <v>23</v>
      </c>
      <c r="Q911" s="304">
        <f t="shared" ca="1" si="425"/>
        <v>0</v>
      </c>
      <c r="R911" s="306">
        <f t="shared" ca="1" si="426"/>
        <v>0</v>
      </c>
      <c r="S911" s="307">
        <f t="shared" ca="1" si="427"/>
        <v>7.4799999999999969</v>
      </c>
      <c r="T911" s="304">
        <f t="shared" ca="1" si="407"/>
        <v>73.37879999999997</v>
      </c>
      <c r="U911" s="311">
        <f t="shared" ca="1" si="408"/>
        <v>0</v>
      </c>
      <c r="V911" s="306">
        <f t="shared" ca="1" si="409"/>
        <v>1.2265938691114777</v>
      </c>
      <c r="W911" s="304">
        <f t="shared" ca="1" si="410"/>
        <v>58.01534857771928</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2.0120423631179545</v>
      </c>
      <c r="AH911" s="304">
        <f t="shared" ca="1" si="434"/>
        <v>-7.7560276528558312</v>
      </c>
    </row>
    <row r="912" spans="1:34" x14ac:dyDescent="0.2">
      <c r="A912" s="347">
        <f t="shared" ca="1" si="412"/>
        <v>1E-4</v>
      </c>
      <c r="B912" s="304">
        <f t="shared" ca="1" si="413"/>
        <v>34.738100000001488</v>
      </c>
      <c r="D912" s="306">
        <f t="shared" ca="1" si="414"/>
        <v>-0.71633490485680895</v>
      </c>
      <c r="E912" s="307">
        <f t="shared" ca="1" si="415"/>
        <v>-2.0870878521778522</v>
      </c>
      <c r="F912" s="304">
        <f t="shared" ca="1" si="416"/>
        <v>2.2065972443163648</v>
      </c>
      <c r="G912" s="306">
        <f t="shared" ca="1" si="417"/>
        <v>11.277037642652584</v>
      </c>
      <c r="H912" s="307">
        <f t="shared" ca="1" si="418"/>
        <v>-121.58038528618144</v>
      </c>
      <c r="I912" s="304">
        <f t="shared" ca="1" si="419"/>
        <v>122.10225904679294</v>
      </c>
      <c r="J912" s="306">
        <f t="shared" ca="1" si="420"/>
        <v>786.02923903053897</v>
      </c>
      <c r="K912" s="307">
        <f t="shared" ca="1" si="421"/>
        <v>-13.01487541582358</v>
      </c>
      <c r="L912" s="304">
        <f t="shared" ca="1" si="406"/>
        <v>786.13698017140598</v>
      </c>
      <c r="M912" s="306">
        <f t="shared" ca="1" si="422"/>
        <v>-1.4783071989422385</v>
      </c>
      <c r="N912" s="304">
        <f t="shared" ca="1" si="423"/>
        <v>-84.700763323196824</v>
      </c>
      <c r="P912" s="310">
        <f t="shared" ca="1" si="424"/>
        <v>23</v>
      </c>
      <c r="Q912" s="304">
        <f t="shared" ca="1" si="425"/>
        <v>0</v>
      </c>
      <c r="R912" s="306">
        <f t="shared" ca="1" si="426"/>
        <v>0</v>
      </c>
      <c r="S912" s="307">
        <f t="shared" ca="1" si="427"/>
        <v>7.4799999999999969</v>
      </c>
      <c r="T912" s="304">
        <f t="shared" ca="1" si="407"/>
        <v>73.37879999999997</v>
      </c>
      <c r="U912" s="311">
        <f t="shared" ca="1" si="408"/>
        <v>0</v>
      </c>
      <c r="V912" s="306">
        <f t="shared" ca="1" si="409"/>
        <v>1.2265953604092872</v>
      </c>
      <c r="W912" s="304">
        <f t="shared" ca="1" si="410"/>
        <v>58.015610309802604</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2.0120080442041051</v>
      </c>
      <c r="AH912" s="304">
        <f t="shared" ca="1" si="434"/>
        <v>-7.7560626440801208</v>
      </c>
    </row>
    <row r="913" spans="1:34" x14ac:dyDescent="0.2">
      <c r="A913" s="347">
        <f t="shared" ca="1" si="412"/>
        <v>1E-4</v>
      </c>
      <c r="B913" s="304">
        <f t="shared" ca="1" si="413"/>
        <v>34.738200000001491</v>
      </c>
      <c r="D913" s="306">
        <f t="shared" ca="1" si="414"/>
        <v>-0.71633240590961011</v>
      </c>
      <c r="E913" s="307">
        <f t="shared" ca="1" si="415"/>
        <v>-2.0870524792730993</v>
      </c>
      <c r="F913" s="304">
        <f t="shared" ca="1" si="416"/>
        <v>2.2065629759869174</v>
      </c>
      <c r="G913" s="306">
        <f t="shared" ca="1" si="417"/>
        <v>11.276966009411993</v>
      </c>
      <c r="H913" s="307">
        <f t="shared" ca="1" si="418"/>
        <v>-121.58059399142937</v>
      </c>
      <c r="I913" s="304">
        <f t="shared" ca="1" si="419"/>
        <v>122.10246024419911</v>
      </c>
      <c r="J913" s="306">
        <f t="shared" ca="1" si="420"/>
        <v>786.02923903053897</v>
      </c>
      <c r="K913" s="307">
        <f t="shared" ca="1" si="421"/>
        <v>-13.027033464787461</v>
      </c>
      <c r="L913" s="304">
        <f t="shared" ca="1" si="406"/>
        <v>786.13718154773778</v>
      </c>
      <c r="M913" s="306">
        <f t="shared" ca="1" si="422"/>
        <v>-1.4783079409627726</v>
      </c>
      <c r="N913" s="304">
        <f t="shared" ca="1" si="423"/>
        <v>-84.700805837841742</v>
      </c>
      <c r="P913" s="310">
        <f t="shared" ca="1" si="424"/>
        <v>23</v>
      </c>
      <c r="Q913" s="304">
        <f t="shared" ca="1" si="425"/>
        <v>0</v>
      </c>
      <c r="R913" s="306">
        <f t="shared" ca="1" si="426"/>
        <v>0</v>
      </c>
      <c r="S913" s="307">
        <f t="shared" ca="1" si="427"/>
        <v>7.4799999999999969</v>
      </c>
      <c r="T913" s="304">
        <f t="shared" ca="1" si="407"/>
        <v>73.37879999999997</v>
      </c>
      <c r="U913" s="311">
        <f t="shared" ca="1" si="408"/>
        <v>0</v>
      </c>
      <c r="V913" s="306">
        <f t="shared" ca="1" si="409"/>
        <v>1.2265968517114707</v>
      </c>
      <c r="W913" s="304">
        <f t="shared" ca="1" si="410"/>
        <v>58.015872039611544</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2.011973725582445</v>
      </c>
      <c r="AH913" s="304">
        <f t="shared" ca="1" si="434"/>
        <v>-7.7560976350003514</v>
      </c>
    </row>
    <row r="914" spans="1:34" x14ac:dyDescent="0.2">
      <c r="A914" s="347">
        <f t="shared" ca="1" si="412"/>
        <v>1E-4</v>
      </c>
      <c r="B914" s="304">
        <f t="shared" ca="1" si="413"/>
        <v>34.738300000001495</v>
      </c>
      <c r="D914" s="306">
        <f t="shared" ca="1" si="414"/>
        <v>-0.7163299069375163</v>
      </c>
      <c r="E914" s="307">
        <f t="shared" ca="1" si="415"/>
        <v>-2.0870171066756926</v>
      </c>
      <c r="F914" s="304">
        <f t="shared" ca="1" si="416"/>
        <v>2.20652870797778</v>
      </c>
      <c r="G914" s="306">
        <f t="shared" ca="1" si="417"/>
        <v>11.2768943764213</v>
      </c>
      <c r="H914" s="307">
        <f t="shared" ca="1" si="418"/>
        <v>-121.58080269314003</v>
      </c>
      <c r="I914" s="304">
        <f t="shared" ca="1" si="419"/>
        <v>122.10266143817344</v>
      </c>
      <c r="J914" s="306">
        <f t="shared" ca="1" si="420"/>
        <v>786.02923903053897</v>
      </c>
      <c r="K914" s="307">
        <f t="shared" ca="1" si="421"/>
        <v>-13.03919153462169</v>
      </c>
      <c r="L914" s="304">
        <f t="shared" ca="1" si="406"/>
        <v>786.13738311239513</v>
      </c>
      <c r="M914" s="306">
        <f t="shared" ca="1" si="422"/>
        <v>-1.478308682976148</v>
      </c>
      <c r="N914" s="304">
        <f t="shared" ca="1" si="423"/>
        <v>-84.700848352076491</v>
      </c>
      <c r="P914" s="310">
        <f t="shared" ca="1" si="424"/>
        <v>23</v>
      </c>
      <c r="Q914" s="304">
        <f t="shared" ca="1" si="425"/>
        <v>0</v>
      </c>
      <c r="R914" s="306">
        <f t="shared" ca="1" si="426"/>
        <v>0</v>
      </c>
      <c r="S914" s="307">
        <f t="shared" ca="1" si="427"/>
        <v>7.4799999999999969</v>
      </c>
      <c r="T914" s="304">
        <f t="shared" ca="1" si="407"/>
        <v>73.37879999999997</v>
      </c>
      <c r="U914" s="311">
        <f t="shared" ca="1" si="408"/>
        <v>0</v>
      </c>
      <c r="V914" s="306">
        <f t="shared" ca="1" si="409"/>
        <v>1.2265983430180287</v>
      </c>
      <c r="W914" s="304">
        <f t="shared" ca="1" si="410"/>
        <v>58.01613376714613</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2.0119394072529868</v>
      </c>
      <c r="AH914" s="304">
        <f t="shared" ca="1" si="434"/>
        <v>-7.7561326256165195</v>
      </c>
    </row>
    <row r="915" spans="1:34" x14ac:dyDescent="0.2">
      <c r="A915" s="347">
        <f t="shared" ca="1" si="412"/>
        <v>1E-4</v>
      </c>
      <c r="B915" s="304">
        <f t="shared" ca="1" si="413"/>
        <v>34.738400000001498</v>
      </c>
      <c r="D915" s="306">
        <f t="shared" ca="1" si="414"/>
        <v>-0.71632740794052818</v>
      </c>
      <c r="E915" s="307">
        <f t="shared" ca="1" si="415"/>
        <v>-2.0869817343856285</v>
      </c>
      <c r="F915" s="304">
        <f t="shared" ca="1" si="416"/>
        <v>2.2064944402889486</v>
      </c>
      <c r="G915" s="306">
        <f t="shared" ca="1" si="417"/>
        <v>11.276822743680507</v>
      </c>
      <c r="H915" s="307">
        <f t="shared" ca="1" si="418"/>
        <v>-121.58101139131347</v>
      </c>
      <c r="I915" s="304">
        <f t="shared" ca="1" si="419"/>
        <v>122.10286262871598</v>
      </c>
      <c r="J915" s="306">
        <f t="shared" ca="1" si="420"/>
        <v>786.02923903053897</v>
      </c>
      <c r="K915" s="307">
        <f t="shared" ca="1" si="421"/>
        <v>-13.051349625325912</v>
      </c>
      <c r="L915" s="304">
        <f t="shared" ca="1" si="406"/>
        <v>786.13758486537881</v>
      </c>
      <c r="M915" s="306">
        <f t="shared" ca="1" si="422"/>
        <v>-1.478309424982365</v>
      </c>
      <c r="N915" s="304">
        <f t="shared" ca="1" si="423"/>
        <v>-84.700890865901101</v>
      </c>
      <c r="P915" s="310">
        <f t="shared" ca="1" si="424"/>
        <v>23</v>
      </c>
      <c r="Q915" s="304">
        <f t="shared" ca="1" si="425"/>
        <v>0</v>
      </c>
      <c r="R915" s="306">
        <f t="shared" ca="1" si="426"/>
        <v>0</v>
      </c>
      <c r="S915" s="307">
        <f t="shared" ca="1" si="427"/>
        <v>7.4799999999999969</v>
      </c>
      <c r="T915" s="304">
        <f t="shared" ca="1" si="407"/>
        <v>73.37879999999997</v>
      </c>
      <c r="U915" s="311">
        <f t="shared" ca="1" si="408"/>
        <v>0</v>
      </c>
      <c r="V915" s="306">
        <f t="shared" ca="1" si="409"/>
        <v>1.226599834328961</v>
      </c>
      <c r="W915" s="304">
        <f t="shared" ca="1" si="410"/>
        <v>58.016395492406339</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2.0119050892157198</v>
      </c>
      <c r="AH915" s="304">
        <f t="shared" ca="1" si="434"/>
        <v>-7.7561676159286304</v>
      </c>
    </row>
    <row r="916" spans="1:34" x14ac:dyDescent="0.2">
      <c r="A916" s="347">
        <f t="shared" ca="1" si="412"/>
        <v>1E-4</v>
      </c>
      <c r="B916" s="304">
        <f t="shared" ca="1" si="413"/>
        <v>34.738500000001501</v>
      </c>
      <c r="D916" s="306">
        <f t="shared" ca="1" si="414"/>
        <v>-0.71632490891864464</v>
      </c>
      <c r="E916" s="307">
        <f t="shared" ca="1" si="415"/>
        <v>-2.0869463624029105</v>
      </c>
      <c r="F916" s="304">
        <f t="shared" ca="1" si="416"/>
        <v>2.2064601729204281</v>
      </c>
      <c r="G916" s="306">
        <f t="shared" ca="1" si="417"/>
        <v>11.276751111189615</v>
      </c>
      <c r="H916" s="307">
        <f t="shared" ca="1" si="418"/>
        <v>-121.58122008594971</v>
      </c>
      <c r="I916" s="304">
        <f t="shared" ca="1" si="419"/>
        <v>122.10306381582674</v>
      </c>
      <c r="J916" s="306">
        <f t="shared" ca="1" si="420"/>
        <v>786.02923903053897</v>
      </c>
      <c r="K916" s="307">
        <f t="shared" ca="1" si="421"/>
        <v>-13.063507736899775</v>
      </c>
      <c r="L916" s="304">
        <f t="shared" ca="1" si="406"/>
        <v>786.13778680668963</v>
      </c>
      <c r="M916" s="306">
        <f t="shared" ca="1" si="422"/>
        <v>-1.4783101669814231</v>
      </c>
      <c r="N916" s="304">
        <f t="shared" ca="1" si="423"/>
        <v>-84.700933379315529</v>
      </c>
      <c r="P916" s="310">
        <f t="shared" ca="1" si="424"/>
        <v>23</v>
      </c>
      <c r="Q916" s="304">
        <f t="shared" ca="1" si="425"/>
        <v>0</v>
      </c>
      <c r="R916" s="306">
        <f t="shared" ca="1" si="426"/>
        <v>0</v>
      </c>
      <c r="S916" s="307">
        <f t="shared" ca="1" si="427"/>
        <v>7.4799999999999969</v>
      </c>
      <c r="T916" s="304">
        <f t="shared" ca="1" si="407"/>
        <v>73.37879999999997</v>
      </c>
      <c r="U916" s="311">
        <f t="shared" ca="1" si="408"/>
        <v>0</v>
      </c>
      <c r="V916" s="306">
        <f t="shared" ca="1" si="409"/>
        <v>1.2266013256442676</v>
      </c>
      <c r="W916" s="304">
        <f t="shared" ca="1" si="410"/>
        <v>58.016657215392208</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2.0118707714706519</v>
      </c>
      <c r="AH916" s="304">
        <f t="shared" ca="1" si="434"/>
        <v>-7.7562026059366795</v>
      </c>
    </row>
    <row r="917" spans="1:34" x14ac:dyDescent="0.2">
      <c r="A917" s="347">
        <f t="shared" ca="1" si="412"/>
        <v>1E-4</v>
      </c>
      <c r="B917" s="304">
        <f t="shared" ca="1" si="413"/>
        <v>34.738600000001504</v>
      </c>
      <c r="D917" s="306">
        <f t="shared" ca="1" si="414"/>
        <v>-0.71632240987186968</v>
      </c>
      <c r="E917" s="307">
        <f t="shared" ca="1" si="415"/>
        <v>-2.0869109907275343</v>
      </c>
      <c r="F917" s="304">
        <f t="shared" ca="1" si="416"/>
        <v>2.2064259058722144</v>
      </c>
      <c r="G917" s="306">
        <f t="shared" ca="1" si="417"/>
        <v>11.276679478948628</v>
      </c>
      <c r="H917" s="307">
        <f t="shared" ca="1" si="418"/>
        <v>-121.58142877704879</v>
      </c>
      <c r="I917" s="304">
        <f t="shared" ca="1" si="419"/>
        <v>122.10326499950575</v>
      </c>
      <c r="J917" s="306">
        <f t="shared" ca="1" si="420"/>
        <v>786.02923903053897</v>
      </c>
      <c r="K917" s="307">
        <f t="shared" ca="1" si="421"/>
        <v>-13.075665869342924</v>
      </c>
      <c r="L917" s="304">
        <f t="shared" ca="1" si="406"/>
        <v>786.1379889363285</v>
      </c>
      <c r="M917" s="306">
        <f t="shared" ca="1" si="422"/>
        <v>-1.4783109089733231</v>
      </c>
      <c r="N917" s="304">
        <f t="shared" ca="1" si="423"/>
        <v>-84.700975892319832</v>
      </c>
      <c r="P917" s="310">
        <f t="shared" ca="1" si="424"/>
        <v>23</v>
      </c>
      <c r="Q917" s="304">
        <f t="shared" ca="1" si="425"/>
        <v>0</v>
      </c>
      <c r="R917" s="306">
        <f t="shared" ca="1" si="426"/>
        <v>0</v>
      </c>
      <c r="S917" s="307">
        <f t="shared" ca="1" si="427"/>
        <v>7.4799999999999969</v>
      </c>
      <c r="T917" s="304">
        <f t="shared" ca="1" si="407"/>
        <v>73.37879999999997</v>
      </c>
      <c r="U917" s="311">
        <f t="shared" ca="1" si="408"/>
        <v>0</v>
      </c>
      <c r="V917" s="306">
        <f t="shared" ca="1" si="409"/>
        <v>1.226602816963948</v>
      </c>
      <c r="W917" s="304">
        <f t="shared" ca="1" si="410"/>
        <v>58.016918936103671</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2.011836454017776</v>
      </c>
      <c r="AH917" s="304">
        <f t="shared" ca="1" si="434"/>
        <v>-7.7562375956406724</v>
      </c>
    </row>
    <row r="918" spans="1:34" x14ac:dyDescent="0.2">
      <c r="A918" s="347">
        <f t="shared" ca="1" si="412"/>
        <v>1E-4</v>
      </c>
      <c r="B918" s="304">
        <f t="shared" ca="1" si="413"/>
        <v>34.738700000001508</v>
      </c>
      <c r="D918" s="306">
        <f t="shared" ca="1" si="414"/>
        <v>-0.7163199108002003</v>
      </c>
      <c r="E918" s="307">
        <f t="shared" ca="1" si="415"/>
        <v>-2.0868756193595077</v>
      </c>
      <c r="F918" s="304">
        <f t="shared" ca="1" si="416"/>
        <v>2.2063916391443148</v>
      </c>
      <c r="G918" s="306">
        <f t="shared" ca="1" si="417"/>
        <v>11.276607846957548</v>
      </c>
      <c r="H918" s="307">
        <f t="shared" ca="1" si="418"/>
        <v>-121.58163746461072</v>
      </c>
      <c r="I918" s="304">
        <f t="shared" ca="1" si="419"/>
        <v>122.10346617975306</v>
      </c>
      <c r="J918" s="306">
        <f t="shared" ca="1" si="420"/>
        <v>786.02923903053897</v>
      </c>
      <c r="K918" s="307">
        <f t="shared" ca="1" si="421"/>
        <v>-13.087824022655006</v>
      </c>
      <c r="L918" s="304">
        <f t="shared" ca="1" si="406"/>
        <v>786.13819125429609</v>
      </c>
      <c r="M918" s="306">
        <f t="shared" ca="1" si="422"/>
        <v>-1.4783116509580645</v>
      </c>
      <c r="N918" s="304">
        <f t="shared" ca="1" si="423"/>
        <v>-84.701018404913981</v>
      </c>
      <c r="P918" s="310">
        <f t="shared" ca="1" si="424"/>
        <v>23</v>
      </c>
      <c r="Q918" s="304">
        <f t="shared" ca="1" si="425"/>
        <v>0</v>
      </c>
      <c r="R918" s="306">
        <f t="shared" ca="1" si="426"/>
        <v>0</v>
      </c>
      <c r="S918" s="307">
        <f t="shared" ca="1" si="427"/>
        <v>7.4799999999999969</v>
      </c>
      <c r="T918" s="304">
        <f t="shared" ca="1" si="407"/>
        <v>73.37879999999997</v>
      </c>
      <c r="U918" s="311">
        <f t="shared" ca="1" si="408"/>
        <v>0</v>
      </c>
      <c r="V918" s="306">
        <f t="shared" ca="1" si="409"/>
        <v>1.2266043082880029</v>
      </c>
      <c r="W918" s="304">
        <f t="shared" ca="1" si="410"/>
        <v>58.017180654540809</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2.011802136857102</v>
      </c>
      <c r="AH918" s="304">
        <f t="shared" ca="1" si="434"/>
        <v>-7.7562725850406009</v>
      </c>
    </row>
    <row r="919" spans="1:34" x14ac:dyDescent="0.2">
      <c r="A919" s="347">
        <f t="shared" ca="1" si="412"/>
        <v>1E-4</v>
      </c>
      <c r="B919" s="304">
        <f t="shared" ca="1" si="413"/>
        <v>34.738800000001511</v>
      </c>
      <c r="D919" s="306">
        <f t="shared" ca="1" si="414"/>
        <v>-0.71631741170364061</v>
      </c>
      <c r="E919" s="307">
        <f t="shared" ca="1" si="415"/>
        <v>-2.0868402482988193</v>
      </c>
      <c r="F919" s="304">
        <f t="shared" ca="1" si="416"/>
        <v>2.2063573727367198</v>
      </c>
      <c r="G919" s="306">
        <f t="shared" ca="1" si="417"/>
        <v>11.276536215216378</v>
      </c>
      <c r="H919" s="307">
        <f t="shared" ca="1" si="418"/>
        <v>-121.58184614863555</v>
      </c>
      <c r="I919" s="304">
        <f t="shared" ca="1" si="419"/>
        <v>122.10366735656866</v>
      </c>
      <c r="J919" s="306">
        <f t="shared" ca="1" si="420"/>
        <v>786.02923903053897</v>
      </c>
      <c r="K919" s="307">
        <f t="shared" ca="1" si="421"/>
        <v>-13.099982196835668</v>
      </c>
      <c r="L919" s="304">
        <f t="shared" ca="1" si="406"/>
        <v>786.13839376059332</v>
      </c>
      <c r="M919" s="306">
        <f t="shared" ca="1" si="422"/>
        <v>-1.4783123929356479</v>
      </c>
      <c r="N919" s="304">
        <f t="shared" ca="1" si="423"/>
        <v>-84.701060917098005</v>
      </c>
      <c r="P919" s="310">
        <f t="shared" ca="1" si="424"/>
        <v>23</v>
      </c>
      <c r="Q919" s="304">
        <f t="shared" ca="1" si="425"/>
        <v>0</v>
      </c>
      <c r="R919" s="306">
        <f t="shared" ca="1" si="426"/>
        <v>0</v>
      </c>
      <c r="S919" s="307">
        <f t="shared" ca="1" si="427"/>
        <v>7.4799999999999969</v>
      </c>
      <c r="T919" s="304">
        <f t="shared" ca="1" si="407"/>
        <v>73.37879999999997</v>
      </c>
      <c r="U919" s="311">
        <f t="shared" ca="1" si="408"/>
        <v>0</v>
      </c>
      <c r="V919" s="306">
        <f t="shared" ca="1" si="409"/>
        <v>1.2266057996164319</v>
      </c>
      <c r="W919" s="304">
        <f t="shared" ca="1" si="410"/>
        <v>58.017442370703577</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2.0117678199886182</v>
      </c>
      <c r="AH919" s="304">
        <f t="shared" ca="1" si="434"/>
        <v>-7.7563075741364749</v>
      </c>
    </row>
    <row r="920" spans="1:34" x14ac:dyDescent="0.2">
      <c r="A920" s="347">
        <f t="shared" ca="1" si="412"/>
        <v>1E-4</v>
      </c>
      <c r="B920" s="304">
        <f t="shared" ca="1" si="413"/>
        <v>34.738900000001514</v>
      </c>
      <c r="D920" s="306">
        <f t="shared" ca="1" si="414"/>
        <v>-0.71631491258218827</v>
      </c>
      <c r="E920" s="307">
        <f t="shared" ca="1" si="415"/>
        <v>-2.0868048775454762</v>
      </c>
      <c r="F920" s="304">
        <f t="shared" ca="1" si="416"/>
        <v>2.2063231066494358</v>
      </c>
      <c r="G920" s="306">
        <f t="shared" ca="1" si="417"/>
        <v>11.276464583725121</v>
      </c>
      <c r="H920" s="307">
        <f t="shared" ca="1" si="418"/>
        <v>-121.58205482912331</v>
      </c>
      <c r="I920" s="304">
        <f t="shared" ca="1" si="419"/>
        <v>122.10386852995262</v>
      </c>
      <c r="J920" s="306">
        <f t="shared" ca="1" si="420"/>
        <v>786.02923903053897</v>
      </c>
      <c r="K920" s="307">
        <f t="shared" ca="1" si="421"/>
        <v>-13.112140391884557</v>
      </c>
      <c r="L920" s="304">
        <f t="shared" ca="1" si="406"/>
        <v>786.13859645522098</v>
      </c>
      <c r="M920" s="306">
        <f t="shared" ca="1" si="422"/>
        <v>-1.478313134906073</v>
      </c>
      <c r="N920" s="304">
        <f t="shared" ca="1" si="423"/>
        <v>-84.701103428871875</v>
      </c>
      <c r="P920" s="310">
        <f t="shared" ca="1" si="424"/>
        <v>23</v>
      </c>
      <c r="Q920" s="304">
        <f t="shared" ca="1" si="425"/>
        <v>0</v>
      </c>
      <c r="R920" s="306">
        <f t="shared" ca="1" si="426"/>
        <v>0</v>
      </c>
      <c r="S920" s="307">
        <f t="shared" ca="1" si="427"/>
        <v>7.4799999999999969</v>
      </c>
      <c r="T920" s="304">
        <f t="shared" ca="1" si="407"/>
        <v>73.37879999999997</v>
      </c>
      <c r="U920" s="311">
        <f t="shared" ca="1" si="408"/>
        <v>0</v>
      </c>
      <c r="V920" s="306">
        <f t="shared" ca="1" si="409"/>
        <v>1.2266072909492347</v>
      </c>
      <c r="W920" s="304">
        <f t="shared" ca="1" si="410"/>
        <v>58.01770408459199</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2.0117335034123318</v>
      </c>
      <c r="AH920" s="304">
        <f t="shared" ca="1" si="434"/>
        <v>-7.7563425629282889</v>
      </c>
    </row>
    <row r="921" spans="1:34" x14ac:dyDescent="0.2">
      <c r="A921" s="347">
        <f t="shared" ca="1" si="412"/>
        <v>1E-4</v>
      </c>
      <c r="B921" s="304">
        <f t="shared" ca="1" si="413"/>
        <v>34.739000000001518</v>
      </c>
      <c r="D921" s="306">
        <f t="shared" ca="1" si="414"/>
        <v>-0.7163124134358464</v>
      </c>
      <c r="E921" s="307">
        <f t="shared" ca="1" si="415"/>
        <v>-2.0867695070994765</v>
      </c>
      <c r="F921" s="304">
        <f t="shared" ca="1" si="416"/>
        <v>2.2062888408824626</v>
      </c>
      <c r="G921" s="306">
        <f t="shared" ca="1" si="417"/>
        <v>11.276392952483777</v>
      </c>
      <c r="H921" s="307">
        <f t="shared" ca="1" si="418"/>
        <v>-121.58226350607401</v>
      </c>
      <c r="I921" s="304">
        <f t="shared" ca="1" si="419"/>
        <v>122.10406969990494</v>
      </c>
      <c r="J921" s="306">
        <f t="shared" ca="1" si="420"/>
        <v>786.02923903053897</v>
      </c>
      <c r="K921" s="307">
        <f t="shared" ca="1" si="421"/>
        <v>-13.124298607801316</v>
      </c>
      <c r="L921" s="304">
        <f t="shared" ca="1" si="406"/>
        <v>786.13879933817987</v>
      </c>
      <c r="M921" s="306">
        <f t="shared" ca="1" si="422"/>
        <v>-1.4783138768693402</v>
      </c>
      <c r="N921" s="304">
        <f t="shared" ca="1" si="423"/>
        <v>-84.701145940235648</v>
      </c>
      <c r="P921" s="310">
        <f t="shared" ca="1" si="424"/>
        <v>23</v>
      </c>
      <c r="Q921" s="304">
        <f t="shared" ca="1" si="425"/>
        <v>0</v>
      </c>
      <c r="R921" s="306">
        <f t="shared" ca="1" si="426"/>
        <v>0</v>
      </c>
      <c r="S921" s="307">
        <f t="shared" ca="1" si="427"/>
        <v>7.4799999999999969</v>
      </c>
      <c r="T921" s="304">
        <f t="shared" ca="1" si="407"/>
        <v>73.37879999999997</v>
      </c>
      <c r="U921" s="311">
        <f t="shared" ca="1" si="408"/>
        <v>0</v>
      </c>
      <c r="V921" s="306">
        <f t="shared" ca="1" si="409"/>
        <v>1.2266087822864116</v>
      </c>
      <c r="W921" s="304">
        <f t="shared" ca="1" si="410"/>
        <v>58.01796579620602</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2.0116991871282393</v>
      </c>
      <c r="AH921" s="304">
        <f t="shared" ca="1" si="434"/>
        <v>-7.7563775514160449</v>
      </c>
    </row>
    <row r="922" spans="1:34" x14ac:dyDescent="0.2">
      <c r="A922" s="347">
        <f t="shared" ca="1" si="412"/>
        <v>1E-4</v>
      </c>
      <c r="B922" s="304">
        <f t="shared" ca="1" si="413"/>
        <v>34.739100000001521</v>
      </c>
      <c r="D922" s="306">
        <f t="shared" ca="1" si="414"/>
        <v>-0.71630991426461266</v>
      </c>
      <c r="E922" s="307">
        <f t="shared" ca="1" si="415"/>
        <v>-2.086734136960823</v>
      </c>
      <c r="F922" s="304">
        <f t="shared" ca="1" si="416"/>
        <v>2.2062545754358012</v>
      </c>
      <c r="G922" s="306">
        <f t="shared" ca="1" si="417"/>
        <v>11.27632132149235</v>
      </c>
      <c r="H922" s="307">
        <f t="shared" ca="1" si="418"/>
        <v>-121.58247217948771</v>
      </c>
      <c r="I922" s="304">
        <f t="shared" ca="1" si="419"/>
        <v>122.10427086642567</v>
      </c>
      <c r="J922" s="306">
        <f t="shared" ca="1" si="420"/>
        <v>786.02923903053897</v>
      </c>
      <c r="K922" s="307">
        <f t="shared" ca="1" si="421"/>
        <v>-13.136456844585595</v>
      </c>
      <c r="L922" s="304">
        <f t="shared" ca="1" si="406"/>
        <v>786.13900240947078</v>
      </c>
      <c r="M922" s="306">
        <f t="shared" ca="1" si="422"/>
        <v>-1.4783146188254492</v>
      </c>
      <c r="N922" s="304">
        <f t="shared" ca="1" si="423"/>
        <v>-84.701188451189282</v>
      </c>
      <c r="P922" s="310">
        <f t="shared" ca="1" si="424"/>
        <v>23</v>
      </c>
      <c r="Q922" s="304">
        <f t="shared" ca="1" si="425"/>
        <v>0</v>
      </c>
      <c r="R922" s="306">
        <f t="shared" ca="1" si="426"/>
        <v>0</v>
      </c>
      <c r="S922" s="307">
        <f t="shared" ca="1" si="427"/>
        <v>7.4799999999999969</v>
      </c>
      <c r="T922" s="304">
        <f t="shared" ca="1" si="407"/>
        <v>73.37879999999997</v>
      </c>
      <c r="U922" s="311">
        <f t="shared" ca="1" si="408"/>
        <v>0</v>
      </c>
      <c r="V922" s="306">
        <f t="shared" ca="1" si="409"/>
        <v>1.2266102736279629</v>
      </c>
      <c r="W922" s="304">
        <f t="shared" ca="1" si="410"/>
        <v>58.018227505545738</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2.0116648711363485</v>
      </c>
      <c r="AH922" s="304">
        <f t="shared" ca="1" si="434"/>
        <v>-7.7564125395997383</v>
      </c>
    </row>
    <row r="923" spans="1:34" x14ac:dyDescent="0.2">
      <c r="A923" s="347">
        <f t="shared" ca="1" si="412"/>
        <v>1E-4</v>
      </c>
      <c r="B923" s="304">
        <f t="shared" ca="1" si="413"/>
        <v>34.739200000001524</v>
      </c>
      <c r="D923" s="306">
        <f t="shared" ca="1" si="414"/>
        <v>-0.71630741506849294</v>
      </c>
      <c r="E923" s="307">
        <f t="shared" ca="1" si="415"/>
        <v>-2.0866987671295076</v>
      </c>
      <c r="F923" s="304">
        <f t="shared" ca="1" si="416"/>
        <v>2.2062203103094471</v>
      </c>
      <c r="G923" s="306">
        <f t="shared" ca="1" si="417"/>
        <v>11.276249690750843</v>
      </c>
      <c r="H923" s="307">
        <f t="shared" ca="1" si="418"/>
        <v>-121.58268084936442</v>
      </c>
      <c r="I923" s="304">
        <f t="shared" ca="1" si="419"/>
        <v>122.10447202951481</v>
      </c>
      <c r="J923" s="306">
        <f t="shared" ca="1" si="420"/>
        <v>786.02923903053897</v>
      </c>
      <c r="K923" s="307">
        <f t="shared" ca="1" si="421"/>
        <v>-13.148615102237038</v>
      </c>
      <c r="L923" s="304">
        <f t="shared" ca="1" si="406"/>
        <v>786.13920566909462</v>
      </c>
      <c r="M923" s="306">
        <f t="shared" ca="1" si="422"/>
        <v>-1.4783153607744006</v>
      </c>
      <c r="N923" s="304">
        <f t="shared" ca="1" si="423"/>
        <v>-84.701230961732804</v>
      </c>
      <c r="P923" s="310">
        <f t="shared" ca="1" si="424"/>
        <v>23</v>
      </c>
      <c r="Q923" s="304">
        <f t="shared" ca="1" si="425"/>
        <v>0</v>
      </c>
      <c r="R923" s="306">
        <f t="shared" ca="1" si="426"/>
        <v>0</v>
      </c>
      <c r="S923" s="307">
        <f t="shared" ca="1" si="427"/>
        <v>7.4799999999999969</v>
      </c>
      <c r="T923" s="304">
        <f t="shared" ca="1" si="407"/>
        <v>73.37879999999997</v>
      </c>
      <c r="U923" s="311">
        <f t="shared" ca="1" si="408"/>
        <v>0</v>
      </c>
      <c r="V923" s="306">
        <f t="shared" ca="1" si="409"/>
        <v>1.2266117649738879</v>
      </c>
      <c r="W923" s="304">
        <f t="shared" ca="1" si="410"/>
        <v>58.018489212611065</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2.0116305554366471</v>
      </c>
      <c r="AH923" s="304">
        <f t="shared" ca="1" si="434"/>
        <v>-7.7564475274793798</v>
      </c>
    </row>
    <row r="924" spans="1:34" x14ac:dyDescent="0.2">
      <c r="A924" s="347">
        <f t="shared" ca="1" si="412"/>
        <v>1E-4</v>
      </c>
      <c r="B924" s="304">
        <f t="shared" ca="1" si="413"/>
        <v>34.739300000001528</v>
      </c>
      <c r="D924" s="306">
        <f t="shared" ca="1" si="414"/>
        <v>-0.71630491584748246</v>
      </c>
      <c r="E924" s="307">
        <f t="shared" ca="1" si="415"/>
        <v>-2.0866633976055384</v>
      </c>
      <c r="F924" s="304">
        <f t="shared" ca="1" si="416"/>
        <v>2.2061860455034066</v>
      </c>
      <c r="G924" s="306">
        <f t="shared" ca="1" si="417"/>
        <v>11.276178060259259</v>
      </c>
      <c r="H924" s="307">
        <f t="shared" ca="1" si="418"/>
        <v>-121.58288951570418</v>
      </c>
      <c r="I924" s="304">
        <f t="shared" ca="1" si="419"/>
        <v>122.10467318917242</v>
      </c>
      <c r="J924" s="306">
        <f t="shared" ca="1" si="420"/>
        <v>786.02923903053897</v>
      </c>
      <c r="K924" s="307">
        <f t="shared" ca="1" si="421"/>
        <v>-13.160773380755291</v>
      </c>
      <c r="L924" s="304">
        <f t="shared" ca="1" si="406"/>
        <v>786.13940911705208</v>
      </c>
      <c r="M924" s="306">
        <f t="shared" ca="1" si="422"/>
        <v>-1.4783161027161944</v>
      </c>
      <c r="N924" s="304">
        <f t="shared" ca="1" si="423"/>
        <v>-84.70127347186623</v>
      </c>
      <c r="P924" s="310">
        <f t="shared" ca="1" si="424"/>
        <v>23</v>
      </c>
      <c r="Q924" s="304">
        <f t="shared" ca="1" si="425"/>
        <v>0</v>
      </c>
      <c r="R924" s="306">
        <f t="shared" ca="1" si="426"/>
        <v>0</v>
      </c>
      <c r="S924" s="307">
        <f t="shared" ca="1" si="427"/>
        <v>7.4799999999999969</v>
      </c>
      <c r="T924" s="304">
        <f t="shared" ca="1" si="407"/>
        <v>73.37879999999997</v>
      </c>
      <c r="U924" s="311">
        <f t="shared" ca="1" si="408"/>
        <v>0</v>
      </c>
      <c r="V924" s="306">
        <f t="shared" ca="1" si="409"/>
        <v>1.2266132563241867</v>
      </c>
      <c r="W924" s="304">
        <f t="shared" ca="1" si="410"/>
        <v>58.018750917402038</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2.0115962400291458</v>
      </c>
      <c r="AH924" s="304">
        <f t="shared" ca="1" si="434"/>
        <v>-7.7564825150549588</v>
      </c>
    </row>
    <row r="925" spans="1:34" x14ac:dyDescent="0.2">
      <c r="A925" s="347">
        <f t="shared" ca="1" si="412"/>
        <v>1E-4</v>
      </c>
      <c r="B925" s="304">
        <f t="shared" ca="1" si="413"/>
        <v>34.739400000001531</v>
      </c>
      <c r="D925" s="306">
        <f t="shared" ca="1" si="414"/>
        <v>-0.716302416601583</v>
      </c>
      <c r="E925" s="307">
        <f t="shared" ca="1" si="415"/>
        <v>-2.0866280283889136</v>
      </c>
      <c r="F925" s="304">
        <f t="shared" ca="1" si="416"/>
        <v>2.2061517810176783</v>
      </c>
      <c r="G925" s="306">
        <f t="shared" ca="1" si="417"/>
        <v>11.276106430017599</v>
      </c>
      <c r="H925" s="307">
        <f t="shared" ca="1" si="418"/>
        <v>-121.58309817850702</v>
      </c>
      <c r="I925" s="304">
        <f t="shared" ca="1" si="419"/>
        <v>122.10487434539851</v>
      </c>
      <c r="J925" s="306">
        <f t="shared" ca="1" si="420"/>
        <v>786.02923903053897</v>
      </c>
      <c r="K925" s="307">
        <f t="shared" ca="1" si="421"/>
        <v>-13.172931680140001</v>
      </c>
      <c r="L925" s="304">
        <f t="shared" ca="1" si="406"/>
        <v>786.13961275334407</v>
      </c>
      <c r="M925" s="306">
        <f t="shared" ca="1" si="422"/>
        <v>-1.4783168446508304</v>
      </c>
      <c r="N925" s="304">
        <f t="shared" ca="1" si="423"/>
        <v>-84.701315981589545</v>
      </c>
      <c r="P925" s="310">
        <f t="shared" ca="1" si="424"/>
        <v>23</v>
      </c>
      <c r="Q925" s="304">
        <f t="shared" ca="1" si="425"/>
        <v>0</v>
      </c>
      <c r="R925" s="306">
        <f t="shared" ca="1" si="426"/>
        <v>0</v>
      </c>
      <c r="S925" s="307">
        <f t="shared" ca="1" si="427"/>
        <v>7.4799999999999969</v>
      </c>
      <c r="T925" s="304">
        <f t="shared" ca="1" si="407"/>
        <v>73.37879999999997</v>
      </c>
      <c r="U925" s="311">
        <f t="shared" ca="1" si="408"/>
        <v>0</v>
      </c>
      <c r="V925" s="306">
        <f t="shared" ca="1" si="409"/>
        <v>1.2266147476788598</v>
      </c>
      <c r="W925" s="304">
        <f t="shared" ca="1" si="410"/>
        <v>58.019012619918684</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2.0115619249138428</v>
      </c>
      <c r="AH925" s="304">
        <f t="shared" ca="1" si="434"/>
        <v>-7.7565175023264787</v>
      </c>
    </row>
    <row r="926" spans="1:34" x14ac:dyDescent="0.2">
      <c r="A926" s="347">
        <f t="shared" ca="1" si="412"/>
        <v>1E-4</v>
      </c>
      <c r="B926" s="304">
        <f t="shared" ca="1" si="413"/>
        <v>34.739500000001534</v>
      </c>
      <c r="D926" s="306">
        <f t="shared" ca="1" si="414"/>
        <v>-0.71629991733079834</v>
      </c>
      <c r="E926" s="307">
        <f t="shared" ca="1" si="415"/>
        <v>-2.0865926594796269</v>
      </c>
      <c r="F926" s="304">
        <f t="shared" ca="1" si="416"/>
        <v>2.2061175168522573</v>
      </c>
      <c r="G926" s="306">
        <f t="shared" ca="1" si="417"/>
        <v>11.276034800025865</v>
      </c>
      <c r="H926" s="307">
        <f t="shared" ca="1" si="418"/>
        <v>-121.58330683777297</v>
      </c>
      <c r="I926" s="304">
        <f t="shared" ca="1" si="419"/>
        <v>122.10507549819313</v>
      </c>
      <c r="J926" s="306">
        <f t="shared" ca="1" si="420"/>
        <v>786.02923903053897</v>
      </c>
      <c r="K926" s="307">
        <f t="shared" ca="1" si="421"/>
        <v>-13.185090000390815</v>
      </c>
      <c r="L926" s="304">
        <f t="shared" ca="1" si="406"/>
        <v>786.13981657797149</v>
      </c>
      <c r="M926" s="306">
        <f t="shared" ca="1" si="422"/>
        <v>-1.4783175865783089</v>
      </c>
      <c r="N926" s="304">
        <f t="shared" ca="1" si="423"/>
        <v>-84.701358490902777</v>
      </c>
      <c r="P926" s="310">
        <f t="shared" ca="1" si="424"/>
        <v>23</v>
      </c>
      <c r="Q926" s="304">
        <f t="shared" ca="1" si="425"/>
        <v>0</v>
      </c>
      <c r="R926" s="306">
        <f t="shared" ca="1" si="426"/>
        <v>0</v>
      </c>
      <c r="S926" s="307">
        <f t="shared" ca="1" si="427"/>
        <v>7.4799999999999969</v>
      </c>
      <c r="T926" s="304">
        <f t="shared" ca="1" si="407"/>
        <v>73.37879999999997</v>
      </c>
      <c r="U926" s="311">
        <f t="shared" ca="1" si="408"/>
        <v>0</v>
      </c>
      <c r="V926" s="306">
        <f t="shared" ca="1" si="409"/>
        <v>1.226616239037907</v>
      </c>
      <c r="W926" s="304">
        <f t="shared" ca="1" si="410"/>
        <v>58.019274320160982</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2.0115276100907327</v>
      </c>
      <c r="AH926" s="304">
        <f t="shared" ca="1" si="434"/>
        <v>-7.756552489293945</v>
      </c>
    </row>
    <row r="927" spans="1:34" x14ac:dyDescent="0.2">
      <c r="A927" s="347">
        <f t="shared" ca="1" si="412"/>
        <v>1E-4</v>
      </c>
      <c r="B927" s="304">
        <f t="shared" ca="1" si="413"/>
        <v>34.739600000001538</v>
      </c>
      <c r="D927" s="306">
        <f t="shared" ca="1" si="414"/>
        <v>-0.71629741803512592</v>
      </c>
      <c r="E927" s="307">
        <f t="shared" ca="1" si="415"/>
        <v>-2.0865572908776828</v>
      </c>
      <c r="F927" s="304">
        <f t="shared" ca="1" si="416"/>
        <v>2.2060832530071486</v>
      </c>
      <c r="G927" s="306">
        <f t="shared" ca="1" si="417"/>
        <v>11.275963170284061</v>
      </c>
      <c r="H927" s="307">
        <f t="shared" ca="1" si="418"/>
        <v>-121.58351549350205</v>
      </c>
      <c r="I927" s="304">
        <f t="shared" ca="1" si="419"/>
        <v>122.10527664755629</v>
      </c>
      <c r="J927" s="306">
        <f t="shared" ca="1" si="420"/>
        <v>786.02923903053897</v>
      </c>
      <c r="K927" s="307">
        <f t="shared" ca="1" si="421"/>
        <v>-13.197248341507379</v>
      </c>
      <c r="L927" s="304">
        <f t="shared" ca="1" si="406"/>
        <v>786.14002059093491</v>
      </c>
      <c r="M927" s="306">
        <f t="shared" ca="1" si="422"/>
        <v>-1.4783183284986299</v>
      </c>
      <c r="N927" s="304">
        <f t="shared" ca="1" si="423"/>
        <v>-84.701400999805898</v>
      </c>
      <c r="P927" s="310">
        <f t="shared" ca="1" si="424"/>
        <v>23</v>
      </c>
      <c r="Q927" s="304">
        <f t="shared" ca="1" si="425"/>
        <v>0</v>
      </c>
      <c r="R927" s="306">
        <f t="shared" ca="1" si="426"/>
        <v>0</v>
      </c>
      <c r="S927" s="307">
        <f t="shared" ca="1" si="427"/>
        <v>7.4799999999999969</v>
      </c>
      <c r="T927" s="304">
        <f t="shared" ca="1" si="407"/>
        <v>73.37879999999997</v>
      </c>
      <c r="U927" s="311">
        <f t="shared" ca="1" si="408"/>
        <v>0</v>
      </c>
      <c r="V927" s="306">
        <f t="shared" ca="1" si="409"/>
        <v>1.2266177304013277</v>
      </c>
      <c r="W927" s="304">
        <f t="shared" ca="1" si="410"/>
        <v>58.019536018128932</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2.0114932955598155</v>
      </c>
      <c r="AH927" s="304">
        <f t="shared" ca="1" si="434"/>
        <v>-7.7565874759573541</v>
      </c>
    </row>
    <row r="928" spans="1:34" x14ac:dyDescent="0.2">
      <c r="A928" s="347">
        <f t="shared" ca="1" si="412"/>
        <v>1E-4</v>
      </c>
      <c r="B928" s="304">
        <f t="shared" ca="1" si="413"/>
        <v>34.739700000001541</v>
      </c>
      <c r="D928" s="306">
        <f t="shared" ca="1" si="414"/>
        <v>-0.71629491871456907</v>
      </c>
      <c r="E928" s="307">
        <f t="shared" ca="1" si="415"/>
        <v>-2.0865219225830813</v>
      </c>
      <c r="F928" s="304">
        <f t="shared" ca="1" si="416"/>
        <v>2.2060489894823525</v>
      </c>
      <c r="G928" s="306">
        <f t="shared" ca="1" si="417"/>
        <v>11.275891540792189</v>
      </c>
      <c r="H928" s="307">
        <f t="shared" ca="1" si="418"/>
        <v>-121.5837241456943</v>
      </c>
      <c r="I928" s="304">
        <f t="shared" ca="1" si="419"/>
        <v>122.10547779348802</v>
      </c>
      <c r="J928" s="306">
        <f t="shared" ca="1" si="420"/>
        <v>786.02923903053897</v>
      </c>
      <c r="K928" s="307">
        <f t="shared" ca="1" si="421"/>
        <v>-13.209406703489339</v>
      </c>
      <c r="L928" s="304">
        <f t="shared" ca="1" si="406"/>
        <v>786.14022479223536</v>
      </c>
      <c r="M928" s="306">
        <f t="shared" ca="1" si="422"/>
        <v>-1.4783190704117937</v>
      </c>
      <c r="N928" s="304">
        <f t="shared" ca="1" si="423"/>
        <v>-84.701443508298951</v>
      </c>
      <c r="P928" s="310">
        <f t="shared" ca="1" si="424"/>
        <v>23</v>
      </c>
      <c r="Q928" s="304">
        <f t="shared" ca="1" si="425"/>
        <v>0</v>
      </c>
      <c r="R928" s="306">
        <f t="shared" ca="1" si="426"/>
        <v>0</v>
      </c>
      <c r="S928" s="307">
        <f t="shared" ca="1" si="427"/>
        <v>7.4799999999999969</v>
      </c>
      <c r="T928" s="304">
        <f t="shared" ca="1" si="407"/>
        <v>73.37879999999997</v>
      </c>
      <c r="U928" s="311">
        <f t="shared" ca="1" si="408"/>
        <v>0</v>
      </c>
      <c r="V928" s="306">
        <f t="shared" ca="1" si="409"/>
        <v>1.2266192217691221</v>
      </c>
      <c r="W928" s="304">
        <f t="shared" ca="1" si="410"/>
        <v>58.019797713822506</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2.0114589813210992</v>
      </c>
      <c r="AH928" s="304">
        <f t="shared" ca="1" si="434"/>
        <v>-7.756622462316705</v>
      </c>
    </row>
    <row r="929" spans="1:34" x14ac:dyDescent="0.2">
      <c r="A929" s="347">
        <f t="shared" ca="1" si="412"/>
        <v>1E-4</v>
      </c>
      <c r="B929" s="304">
        <f t="shared" ca="1" si="413"/>
        <v>34.739800000001544</v>
      </c>
      <c r="D929" s="306">
        <f t="shared" ca="1" si="414"/>
        <v>-0.71629241936912524</v>
      </c>
      <c r="E929" s="307">
        <f t="shared" ca="1" si="415"/>
        <v>-2.0864865545958242</v>
      </c>
      <c r="F929" s="304">
        <f t="shared" ca="1" si="416"/>
        <v>2.2060147262778704</v>
      </c>
      <c r="G929" s="306">
        <f t="shared" ca="1" si="417"/>
        <v>11.275819911550252</v>
      </c>
      <c r="H929" s="307">
        <f t="shared" ca="1" si="418"/>
        <v>-121.58393279434976</v>
      </c>
      <c r="I929" s="304">
        <f t="shared" ca="1" si="419"/>
        <v>122.10567893598837</v>
      </c>
      <c r="J929" s="306">
        <f t="shared" ca="1" si="420"/>
        <v>786.02923903053897</v>
      </c>
      <c r="K929" s="307">
        <f t="shared" ca="1" si="421"/>
        <v>-13.221565086336341</v>
      </c>
      <c r="L929" s="304">
        <f t="shared" ca="1" si="406"/>
        <v>786.14042918187363</v>
      </c>
      <c r="M929" s="306">
        <f t="shared" ca="1" si="422"/>
        <v>-1.4783198123178003</v>
      </c>
      <c r="N929" s="304">
        <f t="shared" ca="1" si="423"/>
        <v>-84.701486016381921</v>
      </c>
      <c r="P929" s="310">
        <f t="shared" ca="1" si="424"/>
        <v>23</v>
      </c>
      <c r="Q929" s="304">
        <f t="shared" ca="1" si="425"/>
        <v>0</v>
      </c>
      <c r="R929" s="306">
        <f t="shared" ca="1" si="426"/>
        <v>0</v>
      </c>
      <c r="S929" s="307">
        <f t="shared" ca="1" si="427"/>
        <v>7.4799999999999969</v>
      </c>
      <c r="T929" s="304">
        <f t="shared" ca="1" si="407"/>
        <v>73.37879999999997</v>
      </c>
      <c r="U929" s="311">
        <f t="shared" ca="1" si="408"/>
        <v>0</v>
      </c>
      <c r="V929" s="306">
        <f t="shared" ca="1" si="409"/>
        <v>1.2266207131412905</v>
      </c>
      <c r="W929" s="304">
        <f t="shared" ca="1" si="410"/>
        <v>58.02005940724176</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2.0114246673745804</v>
      </c>
      <c r="AH929" s="304">
        <f t="shared" ca="1" si="434"/>
        <v>-7.7566574483719961</v>
      </c>
    </row>
    <row r="930" spans="1:34" x14ac:dyDescent="0.2">
      <c r="A930" s="347">
        <f t="shared" ca="1" si="412"/>
        <v>1E-4</v>
      </c>
      <c r="B930" s="304">
        <f t="shared" ca="1" si="413"/>
        <v>34.739900000001548</v>
      </c>
      <c r="D930" s="306">
        <f t="shared" ca="1" si="414"/>
        <v>-0.71628991999879688</v>
      </c>
      <c r="E930" s="307">
        <f t="shared" ca="1" si="415"/>
        <v>-2.0864511869159053</v>
      </c>
      <c r="F930" s="304">
        <f t="shared" ca="1" si="416"/>
        <v>2.2059804633936975</v>
      </c>
      <c r="G930" s="306">
        <f t="shared" ca="1" si="417"/>
        <v>11.275748282558252</v>
      </c>
      <c r="H930" s="307">
        <f t="shared" ca="1" si="418"/>
        <v>-121.58414143946845</v>
      </c>
      <c r="I930" s="304">
        <f t="shared" ca="1" si="419"/>
        <v>122.10588007505734</v>
      </c>
      <c r="J930" s="306">
        <f t="shared" ca="1" si="420"/>
        <v>786.02923903053897</v>
      </c>
      <c r="K930" s="307">
        <f t="shared" ca="1" si="421"/>
        <v>-13.233723490048032</v>
      </c>
      <c r="L930" s="304">
        <f t="shared" ca="1" si="406"/>
        <v>786.1406337598504</v>
      </c>
      <c r="M930" s="306">
        <f t="shared" ca="1" si="422"/>
        <v>-1.4783205542166495</v>
      </c>
      <c r="N930" s="304">
        <f t="shared" ca="1" si="423"/>
        <v>-84.701528524054808</v>
      </c>
      <c r="P930" s="310">
        <f t="shared" ca="1" si="424"/>
        <v>23</v>
      </c>
      <c r="Q930" s="304">
        <f t="shared" ca="1" si="425"/>
        <v>0</v>
      </c>
      <c r="R930" s="306">
        <f t="shared" ca="1" si="426"/>
        <v>0</v>
      </c>
      <c r="S930" s="307">
        <f t="shared" ca="1" si="427"/>
        <v>7.4799999999999969</v>
      </c>
      <c r="T930" s="304">
        <f t="shared" ca="1" si="407"/>
        <v>73.37879999999997</v>
      </c>
      <c r="U930" s="311">
        <f t="shared" ca="1" si="408"/>
        <v>0</v>
      </c>
      <c r="V930" s="306">
        <f t="shared" ca="1" si="409"/>
        <v>1.2266222045178325</v>
      </c>
      <c r="W930" s="304">
        <f t="shared" ca="1" si="410"/>
        <v>58.020321098386653</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2.0113903537202562</v>
      </c>
      <c r="AH930" s="304">
        <f t="shared" ca="1" si="434"/>
        <v>-7.7566924341232335</v>
      </c>
    </row>
    <row r="931" spans="1:34" x14ac:dyDescent="0.2">
      <c r="A931" s="347">
        <f t="shared" ca="1" si="412"/>
        <v>1E-4</v>
      </c>
      <c r="B931" s="304">
        <f t="shared" ca="1" si="413"/>
        <v>34.740000000001551</v>
      </c>
      <c r="D931" s="306">
        <f t="shared" ca="1" si="414"/>
        <v>-0.7162874206035863</v>
      </c>
      <c r="E931" s="307">
        <f t="shared" ca="1" si="415"/>
        <v>-2.0864158195433316</v>
      </c>
      <c r="F931" s="304">
        <f t="shared" ca="1" si="416"/>
        <v>2.2059462008298416</v>
      </c>
      <c r="G931" s="306">
        <f t="shared" ca="1" si="417"/>
        <v>11.275676653816191</v>
      </c>
      <c r="H931" s="307">
        <f t="shared" ca="1" si="418"/>
        <v>-121.5843500810504</v>
      </c>
      <c r="I931" s="304">
        <f t="shared" ca="1" si="419"/>
        <v>122.10608121069498</v>
      </c>
      <c r="J931" s="306">
        <f t="shared" ca="1" si="420"/>
        <v>786.02923903053897</v>
      </c>
      <c r="K931" s="307">
        <f t="shared" ca="1" si="421"/>
        <v>-13.245881914624057</v>
      </c>
      <c r="L931" s="304">
        <f t="shared" ca="1" si="406"/>
        <v>786.14083852616659</v>
      </c>
      <c r="M931" s="306">
        <f t="shared" ca="1" si="422"/>
        <v>-1.4783212961083421</v>
      </c>
      <c r="N931" s="304">
        <f t="shared" ca="1" si="423"/>
        <v>-84.701571031317656</v>
      </c>
      <c r="P931" s="310">
        <f t="shared" ca="1" si="424"/>
        <v>23</v>
      </c>
      <c r="Q931" s="304">
        <f t="shared" ca="1" si="425"/>
        <v>0</v>
      </c>
      <c r="R931" s="306">
        <f t="shared" ca="1" si="426"/>
        <v>0</v>
      </c>
      <c r="S931" s="307">
        <f t="shared" ca="1" si="427"/>
        <v>7.4799999999999969</v>
      </c>
      <c r="T931" s="304">
        <f t="shared" ca="1" si="407"/>
        <v>73.37879999999997</v>
      </c>
      <c r="U931" s="311">
        <f t="shared" ca="1" si="408"/>
        <v>0</v>
      </c>
      <c r="V931" s="306">
        <f t="shared" ca="1" si="409"/>
        <v>1.2266236958987484</v>
      </c>
      <c r="W931" s="304">
        <f t="shared" ca="1" si="410"/>
        <v>58.020582787257212</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2.0113560403581294</v>
      </c>
      <c r="AH931" s="304">
        <f t="shared" ca="1" si="434"/>
        <v>-7.756727419570411</v>
      </c>
    </row>
    <row r="932" spans="1:34" x14ac:dyDescent="0.2">
      <c r="A932" s="347">
        <f t="shared" ca="1" si="412"/>
        <v>1E-4</v>
      </c>
      <c r="B932" s="304">
        <f t="shared" ca="1" si="413"/>
        <v>34.740100000001554</v>
      </c>
      <c r="D932" s="306">
        <f t="shared" ca="1" si="414"/>
        <v>-0.7162849211834903</v>
      </c>
      <c r="E932" s="307">
        <f t="shared" ca="1" si="415"/>
        <v>-2.0863804524780969</v>
      </c>
      <c r="F932" s="304">
        <f t="shared" ca="1" si="416"/>
        <v>2.2059119385862953</v>
      </c>
      <c r="G932" s="306">
        <f t="shared" ca="1" si="417"/>
        <v>11.275605025324072</v>
      </c>
      <c r="H932" s="307">
        <f t="shared" ca="1" si="418"/>
        <v>-121.58455871909565</v>
      </c>
      <c r="I932" s="304">
        <f t="shared" ca="1" si="419"/>
        <v>122.10628234290131</v>
      </c>
      <c r="J932" s="306">
        <f t="shared" ca="1" si="420"/>
        <v>786.02923903053897</v>
      </c>
      <c r="K932" s="307">
        <f t="shared" ca="1" si="421"/>
        <v>-13.258040360064065</v>
      </c>
      <c r="L932" s="304">
        <f t="shared" ca="1" si="406"/>
        <v>786.1410434808231</v>
      </c>
      <c r="M932" s="306">
        <f t="shared" ca="1" si="422"/>
        <v>-1.4783220379928776</v>
      </c>
      <c r="N932" s="304">
        <f t="shared" ca="1" si="423"/>
        <v>-84.70161353817042</v>
      </c>
      <c r="P932" s="310">
        <f t="shared" ca="1" si="424"/>
        <v>23</v>
      </c>
      <c r="Q932" s="304">
        <f t="shared" ca="1" si="425"/>
        <v>0</v>
      </c>
      <c r="R932" s="306">
        <f t="shared" ca="1" si="426"/>
        <v>0</v>
      </c>
      <c r="S932" s="307">
        <f t="shared" ca="1" si="427"/>
        <v>7.4799999999999969</v>
      </c>
      <c r="T932" s="304">
        <f t="shared" ca="1" si="407"/>
        <v>73.37879999999997</v>
      </c>
      <c r="U932" s="311">
        <f t="shared" ca="1" si="408"/>
        <v>0</v>
      </c>
      <c r="V932" s="306">
        <f t="shared" ca="1" si="409"/>
        <v>1.2266251872840379</v>
      </c>
      <c r="W932" s="304">
        <f t="shared" ca="1" si="410"/>
        <v>58.02084447385343</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2.0113217272881982</v>
      </c>
      <c r="AH932" s="304">
        <f t="shared" ca="1" si="434"/>
        <v>-7.756762404713534</v>
      </c>
    </row>
    <row r="933" spans="1:34" x14ac:dyDescent="0.2">
      <c r="A933" s="347">
        <f t="shared" ca="1" si="412"/>
        <v>1E-4</v>
      </c>
      <c r="B933" s="304">
        <f t="shared" ca="1" si="413"/>
        <v>34.740200000001558</v>
      </c>
      <c r="D933" s="306">
        <f t="shared" ca="1" si="414"/>
        <v>-0.71628242173851198</v>
      </c>
      <c r="E933" s="307">
        <f t="shared" ca="1" si="415"/>
        <v>-2.0863450857202039</v>
      </c>
      <c r="F933" s="304">
        <f t="shared" ca="1" si="416"/>
        <v>2.205877676663063</v>
      </c>
      <c r="G933" s="306">
        <f t="shared" ca="1" si="417"/>
        <v>11.275533397081899</v>
      </c>
      <c r="H933" s="307">
        <f t="shared" ca="1" si="418"/>
        <v>-121.58476735360422</v>
      </c>
      <c r="I933" s="304">
        <f t="shared" ca="1" si="419"/>
        <v>122.10648347167636</v>
      </c>
      <c r="J933" s="306">
        <f t="shared" ca="1" si="420"/>
        <v>786.02923903053897</v>
      </c>
      <c r="K933" s="307">
        <f t="shared" ca="1" si="421"/>
        <v>-13.2701988263677</v>
      </c>
      <c r="L933" s="304">
        <f t="shared" ca="1" si="406"/>
        <v>786.1412486238205</v>
      </c>
      <c r="M933" s="306">
        <f t="shared" ca="1" si="422"/>
        <v>-1.4783227798702563</v>
      </c>
      <c r="N933" s="304">
        <f t="shared" ca="1" si="423"/>
        <v>-84.701656044613145</v>
      </c>
      <c r="P933" s="310">
        <f t="shared" ca="1" si="424"/>
        <v>23</v>
      </c>
      <c r="Q933" s="304">
        <f t="shared" ca="1" si="425"/>
        <v>0</v>
      </c>
      <c r="R933" s="306">
        <f t="shared" ca="1" si="426"/>
        <v>0</v>
      </c>
      <c r="S933" s="307">
        <f t="shared" ca="1" si="427"/>
        <v>7.4799999999999969</v>
      </c>
      <c r="T933" s="304">
        <f t="shared" ca="1" si="407"/>
        <v>73.37879999999997</v>
      </c>
      <c r="U933" s="311">
        <f t="shared" ca="1" si="408"/>
        <v>0</v>
      </c>
      <c r="V933" s="306">
        <f t="shared" ca="1" si="409"/>
        <v>1.2266266786737017</v>
      </c>
      <c r="W933" s="304">
        <f t="shared" ca="1" si="410"/>
        <v>58.021106158175314</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2.0112874145104627</v>
      </c>
      <c r="AH933" s="304">
        <f t="shared" ca="1" si="434"/>
        <v>-7.7567973895526006</v>
      </c>
    </row>
    <row r="934" spans="1:34" x14ac:dyDescent="0.2">
      <c r="A934" s="347">
        <f t="shared" ca="1" si="412"/>
        <v>1E-4</v>
      </c>
      <c r="B934" s="304">
        <f t="shared" ca="1" si="413"/>
        <v>34.740300000001561</v>
      </c>
      <c r="D934" s="306">
        <f t="shared" ca="1" si="414"/>
        <v>-0.71627992226865256</v>
      </c>
      <c r="E934" s="307">
        <f t="shared" ca="1" si="415"/>
        <v>-2.0863097192696509</v>
      </c>
      <c r="F934" s="304">
        <f t="shared" ca="1" si="416"/>
        <v>2.2058434150601438</v>
      </c>
      <c r="G934" s="306">
        <f t="shared" ca="1" si="417"/>
        <v>11.275461769089672</v>
      </c>
      <c r="H934" s="307">
        <f t="shared" ca="1" si="418"/>
        <v>-121.58497598457615</v>
      </c>
      <c r="I934" s="304">
        <f t="shared" ca="1" si="419"/>
        <v>122.10668459702016</v>
      </c>
      <c r="J934" s="306">
        <f t="shared" ca="1" si="420"/>
        <v>786.02923903053897</v>
      </c>
      <c r="K934" s="307">
        <f t="shared" ca="1" si="421"/>
        <v>-13.282357313534609</v>
      </c>
      <c r="L934" s="304">
        <f t="shared" ca="1" si="406"/>
        <v>786.14145395515982</v>
      </c>
      <c r="M934" s="306">
        <f t="shared" ca="1" si="422"/>
        <v>-1.4783235217404782</v>
      </c>
      <c r="N934" s="304">
        <f t="shared" ca="1" si="423"/>
        <v>-84.701698550645801</v>
      </c>
      <c r="P934" s="310">
        <f t="shared" ca="1" si="424"/>
        <v>23</v>
      </c>
      <c r="Q934" s="304">
        <f t="shared" ca="1" si="425"/>
        <v>0</v>
      </c>
      <c r="R934" s="306">
        <f t="shared" ca="1" si="426"/>
        <v>0</v>
      </c>
      <c r="S934" s="307">
        <f t="shared" ca="1" si="427"/>
        <v>7.4799999999999969</v>
      </c>
      <c r="T934" s="304">
        <f t="shared" ca="1" si="407"/>
        <v>73.37879999999997</v>
      </c>
      <c r="U934" s="311">
        <f t="shared" ca="1" si="408"/>
        <v>0</v>
      </c>
      <c r="V934" s="306">
        <f t="shared" ca="1" si="409"/>
        <v>1.2266281700677386</v>
      </c>
      <c r="W934" s="304">
        <f t="shared" ca="1" si="410"/>
        <v>58.021367840222879</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2.0112531020249271</v>
      </c>
      <c r="AH934" s="304">
        <f t="shared" ca="1" si="434"/>
        <v>-7.7568323740876117</v>
      </c>
    </row>
    <row r="935" spans="1:34" x14ac:dyDescent="0.2">
      <c r="A935" s="347">
        <f t="shared" ca="1" si="412"/>
        <v>1E-4</v>
      </c>
      <c r="B935" s="304">
        <f t="shared" ca="1" si="413"/>
        <v>34.740400000001564</v>
      </c>
      <c r="D935" s="306">
        <f t="shared" ca="1" si="414"/>
        <v>-0.71627742277391238</v>
      </c>
      <c r="E935" s="307">
        <f t="shared" ca="1" si="415"/>
        <v>-2.0862743531264361</v>
      </c>
      <c r="F935" s="304">
        <f t="shared" ca="1" si="416"/>
        <v>2.2058091537775355</v>
      </c>
      <c r="G935" s="306">
        <f t="shared" ca="1" si="417"/>
        <v>11.275390141347394</v>
      </c>
      <c r="H935" s="307">
        <f t="shared" ca="1" si="418"/>
        <v>-121.58518461201146</v>
      </c>
      <c r="I935" s="304">
        <f t="shared" ca="1" si="419"/>
        <v>122.10688571893274</v>
      </c>
      <c r="J935" s="306">
        <f t="shared" ca="1" si="420"/>
        <v>786.02923903053897</v>
      </c>
      <c r="K935" s="307">
        <f t="shared" ca="1" si="421"/>
        <v>-13.294515821564438</v>
      </c>
      <c r="L935" s="304">
        <f t="shared" ca="1" si="406"/>
        <v>786.14165947484173</v>
      </c>
      <c r="M935" s="306">
        <f t="shared" ca="1" si="422"/>
        <v>-1.4783242636035434</v>
      </c>
      <c r="N935" s="304">
        <f t="shared" ca="1" si="423"/>
        <v>-84.701741056268418</v>
      </c>
      <c r="P935" s="310">
        <f t="shared" ca="1" si="424"/>
        <v>23</v>
      </c>
      <c r="Q935" s="304">
        <f t="shared" ca="1" si="425"/>
        <v>0</v>
      </c>
      <c r="R935" s="306">
        <f t="shared" ca="1" si="426"/>
        <v>0</v>
      </c>
      <c r="S935" s="307">
        <f t="shared" ca="1" si="427"/>
        <v>7.4799999999999969</v>
      </c>
      <c r="T935" s="304">
        <f t="shared" ca="1" si="407"/>
        <v>73.37879999999997</v>
      </c>
      <c r="U935" s="311">
        <f t="shared" ca="1" si="408"/>
        <v>0</v>
      </c>
      <c r="V935" s="306">
        <f t="shared" ca="1" si="409"/>
        <v>1.2266296614661492</v>
      </c>
      <c r="W935" s="304">
        <f t="shared" ca="1" si="410"/>
        <v>58.021629519996075</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2.0112187898315801</v>
      </c>
      <c r="AH935" s="304">
        <f t="shared" ca="1" si="434"/>
        <v>-7.7568673583185701</v>
      </c>
    </row>
    <row r="936" spans="1:34" x14ac:dyDescent="0.2">
      <c r="A936" s="347">
        <f t="shared" ca="1" si="412"/>
        <v>1E-4</v>
      </c>
      <c r="B936" s="304">
        <f t="shared" ca="1" si="413"/>
        <v>34.740500000001568</v>
      </c>
      <c r="D936" s="306">
        <f t="shared" ca="1" si="414"/>
        <v>-0.71627492325429198</v>
      </c>
      <c r="E936" s="307">
        <f t="shared" ca="1" si="415"/>
        <v>-2.0862389872905647</v>
      </c>
      <c r="F936" s="304">
        <f t="shared" ca="1" si="416"/>
        <v>2.2057748928152443</v>
      </c>
      <c r="G936" s="306">
        <f t="shared" ca="1" si="417"/>
        <v>11.275318513855069</v>
      </c>
      <c r="H936" s="307">
        <f t="shared" ca="1" si="418"/>
        <v>-121.58539323591019</v>
      </c>
      <c r="I936" s="304">
        <f t="shared" ca="1" si="419"/>
        <v>122.10708683741414</v>
      </c>
      <c r="J936" s="306">
        <f t="shared" ca="1" si="420"/>
        <v>786.02923903053897</v>
      </c>
      <c r="K936" s="307">
        <f t="shared" ca="1" si="421"/>
        <v>-13.306674350456834</v>
      </c>
      <c r="L936" s="304">
        <f t="shared" ca="1" si="406"/>
        <v>786.14186518286715</v>
      </c>
      <c r="M936" s="306">
        <f t="shared" ca="1" si="422"/>
        <v>-1.4783250054594523</v>
      </c>
      <c r="N936" s="304">
        <f t="shared" ca="1" si="423"/>
        <v>-84.701783561481008</v>
      </c>
      <c r="P936" s="310">
        <f t="shared" ca="1" si="424"/>
        <v>23</v>
      </c>
      <c r="Q936" s="304">
        <f t="shared" ca="1" si="425"/>
        <v>0</v>
      </c>
      <c r="R936" s="306">
        <f t="shared" ca="1" si="426"/>
        <v>0</v>
      </c>
      <c r="S936" s="307">
        <f t="shared" ca="1" si="427"/>
        <v>7.4799999999999969</v>
      </c>
      <c r="T936" s="304">
        <f t="shared" ca="1" si="407"/>
        <v>73.37879999999997</v>
      </c>
      <c r="U936" s="311">
        <f t="shared" ca="1" si="408"/>
        <v>0</v>
      </c>
      <c r="V936" s="306">
        <f t="shared" ca="1" si="409"/>
        <v>1.2266311528689331</v>
      </c>
      <c r="W936" s="304">
        <f t="shared" ca="1" si="410"/>
        <v>58.021891197494945</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2.0111844779304366</v>
      </c>
      <c r="AH936" s="304">
        <f t="shared" ca="1" si="434"/>
        <v>-7.7569023422454677</v>
      </c>
    </row>
    <row r="937" spans="1:34" x14ac:dyDescent="0.2">
      <c r="A937" s="347">
        <f t="shared" ca="1" si="412"/>
        <v>1E-4</v>
      </c>
      <c r="B937" s="304">
        <f t="shared" ca="1" si="413"/>
        <v>34.740600000001571</v>
      </c>
      <c r="D937" s="306">
        <f t="shared" ca="1" si="414"/>
        <v>-0.71627242370978983</v>
      </c>
      <c r="E937" s="307">
        <f t="shared" ca="1" si="415"/>
        <v>-2.0862036217620332</v>
      </c>
      <c r="F937" s="304">
        <f t="shared" ca="1" si="416"/>
        <v>2.2057406321732667</v>
      </c>
      <c r="G937" s="306">
        <f t="shared" ca="1" si="417"/>
        <v>11.275246886612699</v>
      </c>
      <c r="H937" s="307">
        <f t="shared" ca="1" si="418"/>
        <v>-121.58560185627236</v>
      </c>
      <c r="I937" s="304">
        <f t="shared" ca="1" si="419"/>
        <v>122.10728795246438</v>
      </c>
      <c r="J937" s="306">
        <f t="shared" ca="1" si="420"/>
        <v>786.02923903053897</v>
      </c>
      <c r="K937" s="307">
        <f t="shared" ca="1" si="421"/>
        <v>-13.318832900211444</v>
      </c>
      <c r="L937" s="304">
        <f t="shared" ca="1" si="406"/>
        <v>786.14207107923687</v>
      </c>
      <c r="M937" s="306">
        <f t="shared" ca="1" si="422"/>
        <v>-1.4783257473082048</v>
      </c>
      <c r="N937" s="304">
        <f t="shared" ca="1" si="423"/>
        <v>-84.701826066283559</v>
      </c>
      <c r="P937" s="310">
        <f t="shared" ca="1" si="424"/>
        <v>23</v>
      </c>
      <c r="Q937" s="304">
        <f t="shared" ca="1" si="425"/>
        <v>0</v>
      </c>
      <c r="R937" s="306">
        <f t="shared" ca="1" si="426"/>
        <v>0</v>
      </c>
      <c r="S937" s="307">
        <f t="shared" ca="1" si="427"/>
        <v>7.4799999999999969</v>
      </c>
      <c r="T937" s="304">
        <f t="shared" ca="1" si="407"/>
        <v>73.37879999999997</v>
      </c>
      <c r="U937" s="311">
        <f t="shared" ca="1" si="408"/>
        <v>0</v>
      </c>
      <c r="V937" s="306">
        <f t="shared" ca="1" si="409"/>
        <v>1.2266326442760911</v>
      </c>
      <c r="W937" s="304">
        <f t="shared" ca="1" si="410"/>
        <v>58.022152872719502</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2.0111501663214897</v>
      </c>
      <c r="AH937" s="304">
        <f t="shared" ca="1" si="434"/>
        <v>-7.7569373258683116</v>
      </c>
    </row>
    <row r="938" spans="1:34" x14ac:dyDescent="0.2">
      <c r="A938" s="347">
        <f t="shared" ca="1" si="412"/>
        <v>1E-4</v>
      </c>
      <c r="B938" s="304">
        <f t="shared" ca="1" si="413"/>
        <v>34.740700000001574</v>
      </c>
      <c r="D938" s="306">
        <f t="shared" ca="1" si="414"/>
        <v>-0.71626992414040946</v>
      </c>
      <c r="E938" s="307">
        <f t="shared" ca="1" si="415"/>
        <v>-2.086168256540839</v>
      </c>
      <c r="F938" s="304">
        <f t="shared" ca="1" si="416"/>
        <v>2.2057063718516008</v>
      </c>
      <c r="G938" s="306">
        <f t="shared" ca="1" si="417"/>
        <v>11.275175259620285</v>
      </c>
      <c r="H938" s="307">
        <f t="shared" ca="1" si="418"/>
        <v>-121.58581047309802</v>
      </c>
      <c r="I938" s="304">
        <f t="shared" ca="1" si="419"/>
        <v>122.10748906408348</v>
      </c>
      <c r="J938" s="306">
        <f t="shared" ca="1" si="420"/>
        <v>786.02923903053897</v>
      </c>
      <c r="K938" s="307">
        <f t="shared" ca="1" si="421"/>
        <v>-13.330991470827913</v>
      </c>
      <c r="L938" s="304">
        <f t="shared" ca="1" si="406"/>
        <v>786.14227716395169</v>
      </c>
      <c r="M938" s="306">
        <f t="shared" ca="1" si="422"/>
        <v>-1.4783264891498009</v>
      </c>
      <c r="N938" s="304">
        <f t="shared" ca="1" si="423"/>
        <v>-84.701868570676083</v>
      </c>
      <c r="P938" s="310">
        <f t="shared" ca="1" si="424"/>
        <v>23</v>
      </c>
      <c r="Q938" s="304">
        <f t="shared" ca="1" si="425"/>
        <v>0</v>
      </c>
      <c r="R938" s="306">
        <f t="shared" ca="1" si="426"/>
        <v>0</v>
      </c>
      <c r="S938" s="307">
        <f t="shared" ca="1" si="427"/>
        <v>7.4799999999999969</v>
      </c>
      <c r="T938" s="304">
        <f t="shared" ca="1" si="407"/>
        <v>73.37879999999997</v>
      </c>
      <c r="U938" s="311">
        <f t="shared" ca="1" si="408"/>
        <v>0</v>
      </c>
      <c r="V938" s="306">
        <f t="shared" ca="1" si="409"/>
        <v>1.226634135687622</v>
      </c>
      <c r="W938" s="304">
        <f t="shared" ca="1" si="410"/>
        <v>58.022414545669697</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2.0111158550047348</v>
      </c>
      <c r="AH938" s="304">
        <f t="shared" ca="1" si="434"/>
        <v>-7.7569723091871028</v>
      </c>
    </row>
    <row r="939" spans="1:34" x14ac:dyDescent="0.2">
      <c r="A939" s="347">
        <f t="shared" ca="1" si="412"/>
        <v>1E-4</v>
      </c>
      <c r="B939" s="304">
        <f t="shared" ca="1" si="413"/>
        <v>34.740800000001578</v>
      </c>
      <c r="D939" s="306">
        <f t="shared" ca="1" si="414"/>
        <v>-0.71626742454614978</v>
      </c>
      <c r="E939" s="307">
        <f t="shared" ca="1" si="415"/>
        <v>-2.0861328916269901</v>
      </c>
      <c r="F939" s="304">
        <f t="shared" ca="1" si="416"/>
        <v>2.2056721118502542</v>
      </c>
      <c r="G939" s="306">
        <f t="shared" ca="1" si="417"/>
        <v>11.27510363287783</v>
      </c>
      <c r="H939" s="307">
        <f t="shared" ca="1" si="418"/>
        <v>-121.58601908638718</v>
      </c>
      <c r="I939" s="304">
        <f t="shared" ca="1" si="419"/>
        <v>122.10769017227146</v>
      </c>
      <c r="J939" s="306">
        <f t="shared" ca="1" si="420"/>
        <v>786.02923903053897</v>
      </c>
      <c r="K939" s="307">
        <f t="shared" ca="1" si="421"/>
        <v>-13.343150062305886</v>
      </c>
      <c r="L939" s="304">
        <f t="shared" ca="1" si="406"/>
        <v>786.1424834370124</v>
      </c>
      <c r="M939" s="306">
        <f t="shared" ca="1" si="422"/>
        <v>-1.4783272309842408</v>
      </c>
      <c r="N939" s="304">
        <f t="shared" ca="1" si="423"/>
        <v>-84.701911074658582</v>
      </c>
      <c r="P939" s="310">
        <f t="shared" ca="1" si="424"/>
        <v>23</v>
      </c>
      <c r="Q939" s="304">
        <f t="shared" ca="1" si="425"/>
        <v>0</v>
      </c>
      <c r="R939" s="306">
        <f t="shared" ca="1" si="426"/>
        <v>0</v>
      </c>
      <c r="S939" s="307">
        <f t="shared" ca="1" si="427"/>
        <v>7.4799999999999969</v>
      </c>
      <c r="T939" s="304">
        <f t="shared" ca="1" si="407"/>
        <v>73.37879999999997</v>
      </c>
      <c r="U939" s="311">
        <f t="shared" ca="1" si="408"/>
        <v>0</v>
      </c>
      <c r="V939" s="306">
        <f t="shared" ca="1" si="409"/>
        <v>1.2266356271035268</v>
      </c>
      <c r="W939" s="304">
        <f t="shared" ca="1" si="410"/>
        <v>58.022676216345552</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2.0110815439801826</v>
      </c>
      <c r="AH939" s="304">
        <f t="shared" ca="1" si="434"/>
        <v>-7.757007292201834</v>
      </c>
    </row>
    <row r="940" spans="1:34" x14ac:dyDescent="0.2">
      <c r="A940" s="347">
        <f t="shared" ca="1" si="412"/>
        <v>1E-4</v>
      </c>
      <c r="B940" s="304">
        <f t="shared" ca="1" si="413"/>
        <v>34.740900000001581</v>
      </c>
      <c r="D940" s="306">
        <f t="shared" ca="1" si="414"/>
        <v>-0.71626492492701266</v>
      </c>
      <c r="E940" s="307">
        <f t="shared" ca="1" si="415"/>
        <v>-2.0860975270204802</v>
      </c>
      <c r="F940" s="304">
        <f t="shared" ca="1" si="416"/>
        <v>2.205637852169223</v>
      </c>
      <c r="G940" s="306">
        <f t="shared" ca="1" si="417"/>
        <v>11.275032006385338</v>
      </c>
      <c r="H940" s="307">
        <f t="shared" ca="1" si="418"/>
        <v>-121.58622769613989</v>
      </c>
      <c r="I940" s="304">
        <f t="shared" ca="1" si="419"/>
        <v>122.1078912770284</v>
      </c>
      <c r="J940" s="306">
        <f t="shared" ca="1" si="420"/>
        <v>786.02923903053897</v>
      </c>
      <c r="K940" s="307">
        <f t="shared" ca="1" si="421"/>
        <v>-13.355308674645013</v>
      </c>
      <c r="L940" s="304">
        <f t="shared" ca="1" si="406"/>
        <v>786.14268989841992</v>
      </c>
      <c r="M940" s="306">
        <f t="shared" ca="1" si="422"/>
        <v>-1.4783279728115246</v>
      </c>
      <c r="N940" s="304">
        <f t="shared" ca="1" si="423"/>
        <v>-84.70195357823107</v>
      </c>
      <c r="P940" s="310">
        <f t="shared" ca="1" si="424"/>
        <v>23</v>
      </c>
      <c r="Q940" s="304">
        <f t="shared" ca="1" si="425"/>
        <v>0</v>
      </c>
      <c r="R940" s="306">
        <f t="shared" ca="1" si="426"/>
        <v>0</v>
      </c>
      <c r="S940" s="307">
        <f t="shared" ca="1" si="427"/>
        <v>7.4799999999999969</v>
      </c>
      <c r="T940" s="304">
        <f t="shared" ca="1" si="407"/>
        <v>73.37879999999997</v>
      </c>
      <c r="U940" s="311">
        <f t="shared" ca="1" si="408"/>
        <v>0</v>
      </c>
      <c r="V940" s="306">
        <f t="shared" ca="1" si="409"/>
        <v>1.226637118523805</v>
      </c>
      <c r="W940" s="304">
        <f t="shared" ca="1" si="410"/>
        <v>58.022937884747115</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2.0110472332478304</v>
      </c>
      <c r="AH940" s="304">
        <f t="shared" ca="1" si="434"/>
        <v>-7.7570422749125099</v>
      </c>
    </row>
    <row r="941" spans="1:34" x14ac:dyDescent="0.2">
      <c r="A941" s="347">
        <f t="shared" ca="1" si="412"/>
        <v>1E-4</v>
      </c>
      <c r="B941" s="304">
        <f t="shared" ca="1" si="413"/>
        <v>34.741000000001584</v>
      </c>
      <c r="D941" s="306">
        <f t="shared" ca="1" si="414"/>
        <v>-0.71626242528299833</v>
      </c>
      <c r="E941" s="307">
        <f t="shared" ca="1" si="415"/>
        <v>-2.086062162721305</v>
      </c>
      <c r="F941" s="304">
        <f t="shared" ca="1" si="416"/>
        <v>2.2056035928085018</v>
      </c>
      <c r="G941" s="306">
        <f t="shared" ca="1" si="417"/>
        <v>11.27496038014281</v>
      </c>
      <c r="H941" s="307">
        <f t="shared" ca="1" si="418"/>
        <v>-121.58643630235616</v>
      </c>
      <c r="I941" s="304">
        <f t="shared" ca="1" si="419"/>
        <v>122.10809237835427</v>
      </c>
      <c r="J941" s="306">
        <f t="shared" ca="1" si="420"/>
        <v>786.02923903053897</v>
      </c>
      <c r="K941" s="307">
        <f t="shared" ca="1" si="421"/>
        <v>-13.367467307844937</v>
      </c>
      <c r="L941" s="304">
        <f t="shared" ca="1" si="406"/>
        <v>786.14289654817492</v>
      </c>
      <c r="M941" s="306">
        <f t="shared" ca="1" si="422"/>
        <v>-1.4783287146316524</v>
      </c>
      <c r="N941" s="304">
        <f t="shared" ca="1" si="423"/>
        <v>-84.701996081393546</v>
      </c>
      <c r="P941" s="310">
        <f t="shared" ca="1" si="424"/>
        <v>23</v>
      </c>
      <c r="Q941" s="304">
        <f t="shared" ca="1" si="425"/>
        <v>0</v>
      </c>
      <c r="R941" s="306">
        <f t="shared" ca="1" si="426"/>
        <v>0</v>
      </c>
      <c r="S941" s="307">
        <f t="shared" ca="1" si="427"/>
        <v>7.4799999999999969</v>
      </c>
      <c r="T941" s="304">
        <f t="shared" ca="1" si="407"/>
        <v>73.37879999999997</v>
      </c>
      <c r="U941" s="311">
        <f t="shared" ca="1" si="408"/>
        <v>0</v>
      </c>
      <c r="V941" s="306">
        <f t="shared" ca="1" si="409"/>
        <v>1.226638609948457</v>
      </c>
      <c r="W941" s="304">
        <f t="shared" ca="1" si="410"/>
        <v>58.023199550874352</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2.011012922807665</v>
      </c>
      <c r="AH941" s="304">
        <f t="shared" ca="1" si="434"/>
        <v>-7.7570772573191364</v>
      </c>
    </row>
    <row r="942" spans="1:34" x14ac:dyDescent="0.2">
      <c r="A942" s="347">
        <f t="shared" ca="1" si="412"/>
        <v>1E-4</v>
      </c>
      <c r="B942" s="304">
        <f t="shared" ca="1" si="413"/>
        <v>34.741100000001587</v>
      </c>
      <c r="D942" s="306">
        <f t="shared" ca="1" si="414"/>
        <v>-0.71625992561410778</v>
      </c>
      <c r="E942" s="307">
        <f t="shared" ca="1" si="415"/>
        <v>-2.0860267987294687</v>
      </c>
      <c r="F942" s="304">
        <f t="shared" ca="1" si="416"/>
        <v>2.2055693337680959</v>
      </c>
      <c r="G942" s="306">
        <f t="shared" ca="1" si="417"/>
        <v>11.274888754150249</v>
      </c>
      <c r="H942" s="307">
        <f t="shared" ca="1" si="418"/>
        <v>-121.58664490503604</v>
      </c>
      <c r="I942" s="304">
        <f t="shared" ca="1" si="419"/>
        <v>122.10829347624914</v>
      </c>
      <c r="J942" s="306">
        <f t="shared" ca="1" si="420"/>
        <v>786.02923903053897</v>
      </c>
      <c r="K942" s="307">
        <f t="shared" ca="1" si="421"/>
        <v>-13.379625961905306</v>
      </c>
      <c r="L942" s="304">
        <f t="shared" ca="1" si="406"/>
        <v>786.14310338627831</v>
      </c>
      <c r="M942" s="306">
        <f t="shared" ca="1" si="422"/>
        <v>-1.4783294564446243</v>
      </c>
      <c r="N942" s="304">
        <f t="shared" ca="1" si="423"/>
        <v>-84.702038584146038</v>
      </c>
      <c r="P942" s="310">
        <f t="shared" ca="1" si="424"/>
        <v>23</v>
      </c>
      <c r="Q942" s="304">
        <f t="shared" ca="1" si="425"/>
        <v>0</v>
      </c>
      <c r="R942" s="306">
        <f t="shared" ca="1" si="426"/>
        <v>0</v>
      </c>
      <c r="S942" s="307">
        <f t="shared" ca="1" si="427"/>
        <v>7.4799999999999969</v>
      </c>
      <c r="T942" s="304">
        <f t="shared" ca="1" si="407"/>
        <v>73.37879999999997</v>
      </c>
      <c r="U942" s="311">
        <f t="shared" ca="1" si="408"/>
        <v>0</v>
      </c>
      <c r="V942" s="306">
        <f t="shared" ca="1" si="409"/>
        <v>1.2266401013774819</v>
      </c>
      <c r="W942" s="304">
        <f t="shared" ca="1" si="410"/>
        <v>58.023461214727256</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2.0109786126596987</v>
      </c>
      <c r="AH942" s="304">
        <f t="shared" ca="1" si="434"/>
        <v>-7.7571122394217085</v>
      </c>
    </row>
    <row r="943" spans="1:34" x14ac:dyDescent="0.2">
      <c r="A943" s="347">
        <f t="shared" ca="1" si="412"/>
        <v>1E-4</v>
      </c>
      <c r="B943" s="304">
        <f t="shared" ca="1" si="413"/>
        <v>34.741200000001591</v>
      </c>
      <c r="D943" s="306">
        <f t="shared" ca="1" si="414"/>
        <v>-0.71625742592034047</v>
      </c>
      <c r="E943" s="307">
        <f t="shared" ca="1" si="415"/>
        <v>-2.0859914350449733</v>
      </c>
      <c r="F943" s="304">
        <f t="shared" ca="1" si="416"/>
        <v>2.2055350750480076</v>
      </c>
      <c r="G943" s="306">
        <f t="shared" ca="1" si="417"/>
        <v>11.274817128407657</v>
      </c>
      <c r="H943" s="307">
        <f t="shared" ca="1" si="418"/>
        <v>-121.58685350417954</v>
      </c>
      <c r="I943" s="304">
        <f t="shared" ca="1" si="419"/>
        <v>122.10849457071302</v>
      </c>
      <c r="J943" s="306">
        <f t="shared" ca="1" si="420"/>
        <v>786.02923903053897</v>
      </c>
      <c r="K943" s="307">
        <f t="shared" ca="1" si="421"/>
        <v>-13.391784636825767</v>
      </c>
      <c r="L943" s="304">
        <f t="shared" ca="1" si="406"/>
        <v>786.1433104127309</v>
      </c>
      <c r="M943" s="306">
        <f t="shared" ca="1" si="422"/>
        <v>-1.4783301982504404</v>
      </c>
      <c r="N943" s="304">
        <f t="shared" ca="1" si="423"/>
        <v>-84.702081086488519</v>
      </c>
      <c r="P943" s="310">
        <f t="shared" ca="1" si="424"/>
        <v>23</v>
      </c>
      <c r="Q943" s="304">
        <f t="shared" ca="1" si="425"/>
        <v>0</v>
      </c>
      <c r="R943" s="306">
        <f t="shared" ca="1" si="426"/>
        <v>0</v>
      </c>
      <c r="S943" s="307">
        <f t="shared" ca="1" si="427"/>
        <v>7.4799999999999969</v>
      </c>
      <c r="T943" s="304">
        <f t="shared" ca="1" si="407"/>
        <v>73.37879999999997</v>
      </c>
      <c r="U943" s="311">
        <f t="shared" ca="1" si="408"/>
        <v>0</v>
      </c>
      <c r="V943" s="306">
        <f t="shared" ca="1" si="409"/>
        <v>1.2266415928108803</v>
      </c>
      <c r="W943" s="304">
        <f t="shared" ca="1" si="410"/>
        <v>58.023722876305818</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2.0109443028039315</v>
      </c>
      <c r="AH943" s="304">
        <f t="shared" ca="1" si="434"/>
        <v>-7.7571472212202242</v>
      </c>
    </row>
    <row r="944" spans="1:34" x14ac:dyDescent="0.2">
      <c r="A944" s="347">
        <f t="shared" ca="1" si="412"/>
        <v>1E-4</v>
      </c>
      <c r="B944" s="304">
        <f t="shared" ca="1" si="413"/>
        <v>34.741300000001594</v>
      </c>
      <c r="D944" s="306">
        <f t="shared" ca="1" si="414"/>
        <v>-0.71625492620169828</v>
      </c>
      <c r="E944" s="307">
        <f t="shared" ca="1" si="415"/>
        <v>-2.0859560716678178</v>
      </c>
      <c r="F944" s="304">
        <f t="shared" ca="1" si="416"/>
        <v>2.2055008166482355</v>
      </c>
      <c r="G944" s="306">
        <f t="shared" ca="1" si="417"/>
        <v>11.274745502915037</v>
      </c>
      <c r="H944" s="307">
        <f t="shared" ca="1" si="418"/>
        <v>-121.58706209978671</v>
      </c>
      <c r="I944" s="304">
        <f t="shared" ca="1" si="419"/>
        <v>122.10869566174594</v>
      </c>
      <c r="J944" s="306">
        <f t="shared" ca="1" si="420"/>
        <v>786.02923903053897</v>
      </c>
      <c r="K944" s="307">
        <f t="shared" ca="1" si="421"/>
        <v>-13.403943332605966</v>
      </c>
      <c r="L944" s="304">
        <f t="shared" ca="1" si="406"/>
        <v>786.14351762753336</v>
      </c>
      <c r="M944" s="306">
        <f t="shared" ca="1" si="422"/>
        <v>-1.4783309400491007</v>
      </c>
      <c r="N944" s="304">
        <f t="shared" ca="1" si="423"/>
        <v>-84.702123588421003</v>
      </c>
      <c r="P944" s="310">
        <f t="shared" ca="1" si="424"/>
        <v>23</v>
      </c>
      <c r="Q944" s="304">
        <f t="shared" ca="1" si="425"/>
        <v>0</v>
      </c>
      <c r="R944" s="306">
        <f t="shared" ca="1" si="426"/>
        <v>0</v>
      </c>
      <c r="S944" s="307">
        <f t="shared" ca="1" si="427"/>
        <v>7.4799999999999969</v>
      </c>
      <c r="T944" s="304">
        <f t="shared" ca="1" si="407"/>
        <v>73.37879999999997</v>
      </c>
      <c r="U944" s="311">
        <f t="shared" ca="1" si="408"/>
        <v>0</v>
      </c>
      <c r="V944" s="306">
        <f t="shared" ca="1" si="409"/>
        <v>1.2266430842486524</v>
      </c>
      <c r="W944" s="304">
        <f t="shared" ca="1" si="410"/>
        <v>58.02398453561009</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2.0109099932403653</v>
      </c>
      <c r="AH944" s="304">
        <f t="shared" ca="1" si="434"/>
        <v>-7.7571822027146853</v>
      </c>
    </row>
    <row r="945" spans="1:34" x14ac:dyDescent="0.2">
      <c r="A945" s="347">
        <f t="shared" ca="1" si="412"/>
        <v>1E-4</v>
      </c>
      <c r="B945" s="304">
        <f t="shared" ca="1" si="413"/>
        <v>34.741400000001597</v>
      </c>
      <c r="D945" s="306">
        <f t="shared" ca="1" si="414"/>
        <v>-0.71625242645818266</v>
      </c>
      <c r="E945" s="307">
        <f t="shared" ca="1" si="415"/>
        <v>-2.0859207085979978</v>
      </c>
      <c r="F945" s="304">
        <f t="shared" ca="1" si="416"/>
        <v>2.2054665585687774</v>
      </c>
      <c r="G945" s="306">
        <f t="shared" ca="1" si="417"/>
        <v>11.274673877672392</v>
      </c>
      <c r="H945" s="307">
        <f t="shared" ca="1" si="418"/>
        <v>-121.58727069185757</v>
      </c>
      <c r="I945" s="304">
        <f t="shared" ca="1" si="419"/>
        <v>122.10889674934793</v>
      </c>
      <c r="J945" s="306">
        <f t="shared" ca="1" si="420"/>
        <v>786.02923903053897</v>
      </c>
      <c r="K945" s="307">
        <f t="shared" ca="1" si="421"/>
        <v>-13.416102049245548</v>
      </c>
      <c r="L945" s="304">
        <f t="shared" ca="1" si="406"/>
        <v>786.14372503068671</v>
      </c>
      <c r="M945" s="306">
        <f t="shared" ca="1" si="422"/>
        <v>-1.4783316818406056</v>
      </c>
      <c r="N945" s="304">
        <f t="shared" ca="1" si="423"/>
        <v>-84.702166089943503</v>
      </c>
      <c r="P945" s="310">
        <f t="shared" ca="1" si="424"/>
        <v>23</v>
      </c>
      <c r="Q945" s="304">
        <f t="shared" ca="1" si="425"/>
        <v>0</v>
      </c>
      <c r="R945" s="306">
        <f t="shared" ca="1" si="426"/>
        <v>0</v>
      </c>
      <c r="S945" s="307">
        <f t="shared" ca="1" si="427"/>
        <v>7.4799999999999969</v>
      </c>
      <c r="T945" s="304">
        <f t="shared" ca="1" si="407"/>
        <v>73.37879999999997</v>
      </c>
      <c r="U945" s="311">
        <f t="shared" ca="1" si="408"/>
        <v>0</v>
      </c>
      <c r="V945" s="306">
        <f t="shared" ca="1" si="409"/>
        <v>1.2266445756907975</v>
      </c>
      <c r="W945" s="304">
        <f t="shared" ca="1" si="410"/>
        <v>58.024246192640014</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2.0108756839689894</v>
      </c>
      <c r="AH945" s="304">
        <f t="shared" ca="1" si="434"/>
        <v>-7.7572171839050954</v>
      </c>
    </row>
    <row r="946" spans="1:34" x14ac:dyDescent="0.2">
      <c r="A946" s="347">
        <f t="shared" ca="1" si="412"/>
        <v>1E-4</v>
      </c>
      <c r="B946" s="304">
        <f t="shared" ca="1" si="413"/>
        <v>34.741500000001601</v>
      </c>
      <c r="D946" s="306">
        <f t="shared" ca="1" si="414"/>
        <v>-0.71624992668979126</v>
      </c>
      <c r="E946" s="307">
        <f t="shared" ca="1" si="415"/>
        <v>-2.0858853458355187</v>
      </c>
      <c r="F946" s="304">
        <f t="shared" ca="1" si="416"/>
        <v>2.2054323008096381</v>
      </c>
      <c r="G946" s="306">
        <f t="shared" ca="1" si="417"/>
        <v>11.274602252679722</v>
      </c>
      <c r="H946" s="307">
        <f t="shared" ca="1" si="418"/>
        <v>-121.58747928039216</v>
      </c>
      <c r="I946" s="304">
        <f t="shared" ca="1" si="419"/>
        <v>122.10909783351903</v>
      </c>
      <c r="J946" s="306">
        <f t="shared" ca="1" si="420"/>
        <v>786.02923903053897</v>
      </c>
      <c r="K946" s="307">
        <f t="shared" ca="1" si="421"/>
        <v>-13.428260786744161</v>
      </c>
      <c r="L946" s="304">
        <f t="shared" ca="1" si="406"/>
        <v>786.14393262219164</v>
      </c>
      <c r="M946" s="306">
        <f t="shared" ca="1" si="422"/>
        <v>-1.4783324236249549</v>
      </c>
      <c r="N946" s="304">
        <f t="shared" ca="1" si="423"/>
        <v>-84.702208591056021</v>
      </c>
      <c r="P946" s="310">
        <f t="shared" ca="1" si="424"/>
        <v>23</v>
      </c>
      <c r="Q946" s="304">
        <f t="shared" ca="1" si="425"/>
        <v>0</v>
      </c>
      <c r="R946" s="306">
        <f t="shared" ca="1" si="426"/>
        <v>0</v>
      </c>
      <c r="S946" s="307">
        <f t="shared" ca="1" si="427"/>
        <v>7.4799999999999969</v>
      </c>
      <c r="T946" s="304">
        <f t="shared" ca="1" si="407"/>
        <v>73.37879999999997</v>
      </c>
      <c r="U946" s="311">
        <f t="shared" ca="1" si="408"/>
        <v>0</v>
      </c>
      <c r="V946" s="306">
        <f t="shared" ca="1" si="409"/>
        <v>1.2266460671373156</v>
      </c>
      <c r="W946" s="304">
        <f t="shared" ca="1" si="410"/>
        <v>58.024507847395611</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2.0108413749898126</v>
      </c>
      <c r="AH946" s="304">
        <f t="shared" ca="1" si="434"/>
        <v>-7.7572521647914492</v>
      </c>
    </row>
    <row r="947" spans="1:34" x14ac:dyDescent="0.2">
      <c r="A947" s="347">
        <f t="shared" ca="1" si="412"/>
        <v>1E-4</v>
      </c>
      <c r="B947" s="304">
        <f t="shared" ca="1" si="413"/>
        <v>34.741600000001604</v>
      </c>
      <c r="D947" s="306">
        <f t="shared" ca="1" si="414"/>
        <v>-0.71624742689652732</v>
      </c>
      <c r="E947" s="307">
        <f t="shared" ca="1" si="415"/>
        <v>-2.0858499833803785</v>
      </c>
      <c r="F947" s="304">
        <f t="shared" ca="1" si="416"/>
        <v>2.2053980433708156</v>
      </c>
      <c r="G947" s="306">
        <f t="shared" ca="1" si="417"/>
        <v>11.274530627937033</v>
      </c>
      <c r="H947" s="307">
        <f t="shared" ca="1" si="418"/>
        <v>-121.58768786539049</v>
      </c>
      <c r="I947" s="304">
        <f t="shared" ca="1" si="419"/>
        <v>122.10929891425926</v>
      </c>
      <c r="J947" s="306">
        <f t="shared" ca="1" si="420"/>
        <v>786.02923903053897</v>
      </c>
      <c r="K947" s="307">
        <f t="shared" ca="1" si="421"/>
        <v>-13.440419545101451</v>
      </c>
      <c r="L947" s="304">
        <f t="shared" ca="1" si="406"/>
        <v>786.14414040204895</v>
      </c>
      <c r="M947" s="306">
        <f t="shared" ca="1" si="422"/>
        <v>-1.4783331654021488</v>
      </c>
      <c r="N947" s="304">
        <f t="shared" ca="1" si="423"/>
        <v>-84.702251091758569</v>
      </c>
      <c r="P947" s="310">
        <f t="shared" ca="1" si="424"/>
        <v>23</v>
      </c>
      <c r="Q947" s="304">
        <f t="shared" ca="1" si="425"/>
        <v>0</v>
      </c>
      <c r="R947" s="306">
        <f t="shared" ca="1" si="426"/>
        <v>0</v>
      </c>
      <c r="S947" s="307">
        <f t="shared" ca="1" si="427"/>
        <v>7.4799999999999969</v>
      </c>
      <c r="T947" s="304">
        <f t="shared" ca="1" si="407"/>
        <v>73.37879999999997</v>
      </c>
      <c r="U947" s="311">
        <f t="shared" ca="1" si="408"/>
        <v>0</v>
      </c>
      <c r="V947" s="306">
        <f t="shared" ca="1" si="409"/>
        <v>1.2266475585882077</v>
      </c>
      <c r="W947" s="304">
        <f t="shared" ca="1" si="410"/>
        <v>58.024769499876932</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2.0108070663028368</v>
      </c>
      <c r="AH947" s="304">
        <f t="shared" ca="1" si="434"/>
        <v>-7.7572871453737484</v>
      </c>
    </row>
    <row r="948" spans="1:34" x14ac:dyDescent="0.2">
      <c r="A948" s="347">
        <f t="shared" ca="1" si="412"/>
        <v>1E-4</v>
      </c>
      <c r="B948" s="304">
        <f t="shared" ca="1" si="413"/>
        <v>34.741700000001607</v>
      </c>
      <c r="D948" s="306">
        <f t="shared" ca="1" si="414"/>
        <v>-0.71624492707839116</v>
      </c>
      <c r="E948" s="307">
        <f t="shared" ca="1" si="415"/>
        <v>-2.0858146212325721</v>
      </c>
      <c r="F948" s="304">
        <f t="shared" ca="1" si="416"/>
        <v>2.2053637862523061</v>
      </c>
      <c r="G948" s="306">
        <f t="shared" ca="1" si="417"/>
        <v>11.274459003444324</v>
      </c>
      <c r="H948" s="307">
        <f t="shared" ca="1" si="418"/>
        <v>-121.58789644685261</v>
      </c>
      <c r="I948" s="304">
        <f t="shared" ca="1" si="419"/>
        <v>122.10949999156864</v>
      </c>
      <c r="J948" s="306">
        <f t="shared" ca="1" si="420"/>
        <v>786.02923903053897</v>
      </c>
      <c r="K948" s="307">
        <f t="shared" ca="1" si="421"/>
        <v>-13.452578324317063</v>
      </c>
      <c r="L948" s="304">
        <f t="shared" ca="1" si="406"/>
        <v>786.14434837025965</v>
      </c>
      <c r="M948" s="306">
        <f t="shared" ca="1" si="422"/>
        <v>-1.4783339071721875</v>
      </c>
      <c r="N948" s="304">
        <f t="shared" ca="1" si="423"/>
        <v>-84.702293592051163</v>
      </c>
      <c r="P948" s="310">
        <f t="shared" ca="1" si="424"/>
        <v>23</v>
      </c>
      <c r="Q948" s="304">
        <f t="shared" ca="1" si="425"/>
        <v>0</v>
      </c>
      <c r="R948" s="306">
        <f t="shared" ca="1" si="426"/>
        <v>0</v>
      </c>
      <c r="S948" s="307">
        <f t="shared" ca="1" si="427"/>
        <v>7.4799999999999969</v>
      </c>
      <c r="T948" s="304">
        <f t="shared" ca="1" si="407"/>
        <v>73.37879999999997</v>
      </c>
      <c r="U948" s="311">
        <f t="shared" ca="1" si="408"/>
        <v>0</v>
      </c>
      <c r="V948" s="306">
        <f t="shared" ca="1" si="409"/>
        <v>1.2266490500434724</v>
      </c>
      <c r="W948" s="304">
        <f t="shared" ca="1" si="410"/>
        <v>58.025031150083898</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2.0107727579080521</v>
      </c>
      <c r="AH948" s="304">
        <f t="shared" ca="1" si="434"/>
        <v>-7.7573221256519993</v>
      </c>
    </row>
    <row r="949" spans="1:34" x14ac:dyDescent="0.2">
      <c r="A949" s="347">
        <f t="shared" ca="1" si="412"/>
        <v>1E-4</v>
      </c>
      <c r="B949" s="304">
        <f t="shared" ca="1" si="413"/>
        <v>34.741800000001611</v>
      </c>
      <c r="D949" s="306">
        <f t="shared" ca="1" si="414"/>
        <v>-0.71624242723538178</v>
      </c>
      <c r="E949" s="307">
        <f t="shared" ca="1" si="415"/>
        <v>-2.0857792593921074</v>
      </c>
      <c r="F949" s="304">
        <f t="shared" ca="1" si="416"/>
        <v>2.2053295294541178</v>
      </c>
      <c r="G949" s="306">
        <f t="shared" ca="1" si="417"/>
        <v>11.274387379201601</v>
      </c>
      <c r="H949" s="307">
        <f t="shared" ca="1" si="418"/>
        <v>-121.58810502477856</v>
      </c>
      <c r="I949" s="304">
        <f t="shared" ca="1" si="419"/>
        <v>122.10970106544721</v>
      </c>
      <c r="J949" s="306">
        <f t="shared" ca="1" si="420"/>
        <v>786.02923903053897</v>
      </c>
      <c r="K949" s="307">
        <f t="shared" ca="1" si="421"/>
        <v>-13.464737124390645</v>
      </c>
      <c r="L949" s="304">
        <f t="shared" ca="1" si="406"/>
        <v>786.1445565268242</v>
      </c>
      <c r="M949" s="306">
        <f t="shared" ca="1" si="422"/>
        <v>-1.4783346489350708</v>
      </c>
      <c r="N949" s="304">
        <f t="shared" ca="1" si="423"/>
        <v>-84.702336091933773</v>
      </c>
      <c r="P949" s="310">
        <f t="shared" ca="1" si="424"/>
        <v>23</v>
      </c>
      <c r="Q949" s="304">
        <f t="shared" ca="1" si="425"/>
        <v>0</v>
      </c>
      <c r="R949" s="306">
        <f t="shared" ca="1" si="426"/>
        <v>0</v>
      </c>
      <c r="S949" s="307">
        <f t="shared" ca="1" si="427"/>
        <v>7.4799999999999969</v>
      </c>
      <c r="T949" s="304">
        <f t="shared" ca="1" si="407"/>
        <v>73.37879999999997</v>
      </c>
      <c r="U949" s="311">
        <f t="shared" ca="1" si="408"/>
        <v>0</v>
      </c>
      <c r="V949" s="306">
        <f t="shared" ca="1" si="409"/>
        <v>1.2266505415031108</v>
      </c>
      <c r="W949" s="304">
        <f t="shared" ca="1" si="410"/>
        <v>58.025292798016579</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2.0107384498054692</v>
      </c>
      <c r="AH949" s="304">
        <f t="shared" ca="1" si="434"/>
        <v>-7.757357105626193</v>
      </c>
    </row>
    <row r="950" spans="1:34" x14ac:dyDescent="0.2">
      <c r="A950" s="347">
        <f t="shared" ca="1" si="412"/>
        <v>1E-4</v>
      </c>
      <c r="B950" s="304">
        <f t="shared" ca="1" si="413"/>
        <v>34.741900000001614</v>
      </c>
      <c r="D950" s="306">
        <f t="shared" ca="1" si="414"/>
        <v>-0.71623992736750286</v>
      </c>
      <c r="E950" s="307">
        <f t="shared" ca="1" si="415"/>
        <v>-2.0857438978589764</v>
      </c>
      <c r="F950" s="304">
        <f t="shared" ca="1" si="416"/>
        <v>2.2052952729762429</v>
      </c>
      <c r="G950" s="306">
        <f t="shared" ca="1" si="417"/>
        <v>11.274315755208864</v>
      </c>
      <c r="H950" s="307">
        <f t="shared" ca="1" si="418"/>
        <v>-121.58831359916834</v>
      </c>
      <c r="I950" s="304">
        <f t="shared" ca="1" si="419"/>
        <v>122.10990213589501</v>
      </c>
      <c r="J950" s="306">
        <f t="shared" ca="1" si="420"/>
        <v>786.02923903053897</v>
      </c>
      <c r="K950" s="307">
        <f t="shared" ca="1" si="421"/>
        <v>-13.476895945321843</v>
      </c>
      <c r="L950" s="304">
        <f t="shared" ca="1" si="406"/>
        <v>786.14476487174375</v>
      </c>
      <c r="M950" s="306">
        <f t="shared" ca="1" si="422"/>
        <v>-1.4783353906907992</v>
      </c>
      <c r="N950" s="304">
        <f t="shared" ca="1" si="423"/>
        <v>-84.702378591406443</v>
      </c>
      <c r="P950" s="310">
        <f t="shared" ca="1" si="424"/>
        <v>23</v>
      </c>
      <c r="Q950" s="304">
        <f t="shared" ca="1" si="425"/>
        <v>0</v>
      </c>
      <c r="R950" s="306">
        <f t="shared" ca="1" si="426"/>
        <v>0</v>
      </c>
      <c r="S950" s="307">
        <f t="shared" ca="1" si="427"/>
        <v>7.4799999999999969</v>
      </c>
      <c r="T950" s="304">
        <f t="shared" ca="1" si="407"/>
        <v>73.37879999999997</v>
      </c>
      <c r="U950" s="311">
        <f t="shared" ca="1" si="408"/>
        <v>0</v>
      </c>
      <c r="V950" s="306">
        <f t="shared" ca="1" si="409"/>
        <v>1.2266520329671218</v>
      </c>
      <c r="W950" s="304">
        <f t="shared" ca="1" si="410"/>
        <v>58.02555444367492</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2.0107041419950784</v>
      </c>
      <c r="AH950" s="304">
        <f t="shared" ca="1" si="434"/>
        <v>-7.7573920852963374</v>
      </c>
    </row>
    <row r="951" spans="1:34" x14ac:dyDescent="0.2">
      <c r="A951" s="347">
        <f t="shared" ca="1" si="412"/>
        <v>1E-4</v>
      </c>
      <c r="B951" s="304">
        <f t="shared" ca="1" si="413"/>
        <v>34.742000000001617</v>
      </c>
      <c r="D951" s="306">
        <f t="shared" ca="1" si="414"/>
        <v>-0.71623742747475194</v>
      </c>
      <c r="E951" s="307">
        <f t="shared" ca="1" si="415"/>
        <v>-2.0857085366331862</v>
      </c>
      <c r="F951" s="304">
        <f t="shared" ca="1" si="416"/>
        <v>2.2052610168186888</v>
      </c>
      <c r="G951" s="306">
        <f t="shared" ca="1" si="417"/>
        <v>11.274244131466116</v>
      </c>
      <c r="H951" s="307">
        <f t="shared" ca="1" si="418"/>
        <v>-121.588522170022</v>
      </c>
      <c r="I951" s="304">
        <f t="shared" ca="1" si="419"/>
        <v>122.11010320291204</v>
      </c>
      <c r="J951" s="306">
        <f t="shared" ca="1" si="420"/>
        <v>786.02923903053897</v>
      </c>
      <c r="K951" s="307">
        <f t="shared" ca="1" si="421"/>
        <v>-13.489054787110302</v>
      </c>
      <c r="L951" s="304">
        <f t="shared" ca="1" si="406"/>
        <v>786.14497340501885</v>
      </c>
      <c r="M951" s="306">
        <f t="shared" ca="1" si="422"/>
        <v>-1.4783361324393725</v>
      </c>
      <c r="N951" s="304">
        <f t="shared" ca="1" si="423"/>
        <v>-84.702421090469159</v>
      </c>
      <c r="P951" s="310">
        <f t="shared" ca="1" si="424"/>
        <v>23</v>
      </c>
      <c r="Q951" s="304">
        <f t="shared" ca="1" si="425"/>
        <v>0</v>
      </c>
      <c r="R951" s="306">
        <f t="shared" ca="1" si="426"/>
        <v>0</v>
      </c>
      <c r="S951" s="307">
        <f t="shared" ca="1" si="427"/>
        <v>7.4799999999999969</v>
      </c>
      <c r="T951" s="304">
        <f t="shared" ca="1" si="407"/>
        <v>73.37879999999997</v>
      </c>
      <c r="U951" s="311">
        <f t="shared" ca="1" si="408"/>
        <v>0</v>
      </c>
      <c r="V951" s="306">
        <f t="shared" ca="1" si="409"/>
        <v>1.2266535244355063</v>
      </c>
      <c r="W951" s="304">
        <f t="shared" ca="1" si="410"/>
        <v>58.025816087058956</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2.0106698344768903</v>
      </c>
      <c r="AH951" s="304">
        <f t="shared" ca="1" si="434"/>
        <v>-7.7574270646624255</v>
      </c>
    </row>
    <row r="952" spans="1:34" x14ac:dyDescent="0.2">
      <c r="A952" s="347">
        <f t="shared" ca="1" si="412"/>
        <v>1E-4</v>
      </c>
      <c r="B952" s="304">
        <f t="shared" ca="1" si="413"/>
        <v>34.742100000001621</v>
      </c>
      <c r="D952" s="306">
        <f t="shared" ca="1" si="414"/>
        <v>-0.71623492755713247</v>
      </c>
      <c r="E952" s="307">
        <f t="shared" ca="1" si="415"/>
        <v>-2.0856731757147324</v>
      </c>
      <c r="F952" s="304">
        <f t="shared" ca="1" si="416"/>
        <v>2.2052267609814526</v>
      </c>
      <c r="G952" s="306">
        <f t="shared" ca="1" si="417"/>
        <v>11.274172507973359</v>
      </c>
      <c r="H952" s="307">
        <f t="shared" ca="1" si="418"/>
        <v>-121.58873073733957</v>
      </c>
      <c r="I952" s="304">
        <f t="shared" ca="1" si="419"/>
        <v>122.11030426649836</v>
      </c>
      <c r="J952" s="306">
        <f t="shared" ca="1" si="420"/>
        <v>786.02923903053897</v>
      </c>
      <c r="K952" s="307">
        <f t="shared" ca="1" si="421"/>
        <v>-13.50121364975567</v>
      </c>
      <c r="L952" s="304">
        <f t="shared" ca="1" si="406"/>
        <v>786.14518212665052</v>
      </c>
      <c r="M952" s="306">
        <f t="shared" ca="1" si="422"/>
        <v>-1.478336874180791</v>
      </c>
      <c r="N952" s="304">
        <f t="shared" ca="1" si="423"/>
        <v>-84.702463589121919</v>
      </c>
      <c r="P952" s="310">
        <f t="shared" ca="1" si="424"/>
        <v>23</v>
      </c>
      <c r="Q952" s="304">
        <f t="shared" ca="1" si="425"/>
        <v>0</v>
      </c>
      <c r="R952" s="306">
        <f t="shared" ca="1" si="426"/>
        <v>0</v>
      </c>
      <c r="S952" s="307">
        <f t="shared" ca="1" si="427"/>
        <v>7.4799999999999969</v>
      </c>
      <c r="T952" s="304">
        <f t="shared" ca="1" si="407"/>
        <v>73.37879999999997</v>
      </c>
      <c r="U952" s="311">
        <f t="shared" ca="1" si="408"/>
        <v>0</v>
      </c>
      <c r="V952" s="306">
        <f t="shared" ca="1" si="409"/>
        <v>1.2266550159082641</v>
      </c>
      <c r="W952" s="304">
        <f t="shared" ca="1" si="410"/>
        <v>58.026077728168694</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2.0106355272508996</v>
      </c>
      <c r="AH952" s="304">
        <f t="shared" ca="1" si="434"/>
        <v>-7.7574620437244626</v>
      </c>
    </row>
    <row r="953" spans="1:34" x14ac:dyDescent="0.2">
      <c r="A953" s="347">
        <f t="shared" ca="1" si="412"/>
        <v>1E-4</v>
      </c>
      <c r="B953" s="304">
        <f t="shared" ca="1" si="413"/>
        <v>34.742200000001624</v>
      </c>
      <c r="D953" s="306">
        <f t="shared" ca="1" si="414"/>
        <v>-0.71623242761464267</v>
      </c>
      <c r="E953" s="307">
        <f t="shared" ca="1" si="415"/>
        <v>-2.0856378151036132</v>
      </c>
      <c r="F953" s="304">
        <f t="shared" ca="1" si="416"/>
        <v>2.2051925054645314</v>
      </c>
      <c r="G953" s="306">
        <f t="shared" ca="1" si="417"/>
        <v>11.274100884730599</v>
      </c>
      <c r="H953" s="307">
        <f t="shared" ca="1" si="418"/>
        <v>-121.58893930112109</v>
      </c>
      <c r="I953" s="304">
        <f t="shared" ca="1" si="419"/>
        <v>122.11050532665398</v>
      </c>
      <c r="J953" s="306">
        <f t="shared" ca="1" si="420"/>
        <v>786.02923903053897</v>
      </c>
      <c r="K953" s="307">
        <f t="shared" ca="1" si="421"/>
        <v>-13.513372533257593</v>
      </c>
      <c r="L953" s="304">
        <f t="shared" ca="1" si="406"/>
        <v>786.14539103663947</v>
      </c>
      <c r="M953" s="306">
        <f t="shared" ca="1" si="422"/>
        <v>-1.4783376159150545</v>
      </c>
      <c r="N953" s="304">
        <f t="shared" ca="1" si="423"/>
        <v>-84.702506087364739</v>
      </c>
      <c r="P953" s="310">
        <f t="shared" ca="1" si="424"/>
        <v>23</v>
      </c>
      <c r="Q953" s="304">
        <f t="shared" ca="1" si="425"/>
        <v>0</v>
      </c>
      <c r="R953" s="306">
        <f t="shared" ca="1" si="426"/>
        <v>0</v>
      </c>
      <c r="S953" s="307">
        <f t="shared" ca="1" si="427"/>
        <v>7.4799999999999969</v>
      </c>
      <c r="T953" s="304">
        <f t="shared" ca="1" si="407"/>
        <v>73.37879999999997</v>
      </c>
      <c r="U953" s="311">
        <f t="shared" ca="1" si="408"/>
        <v>0</v>
      </c>
      <c r="V953" s="306">
        <f t="shared" ca="1" si="409"/>
        <v>1.2266565073853941</v>
      </c>
      <c r="W953" s="304">
        <f t="shared" ca="1" si="410"/>
        <v>58.026339367004077</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2.0106012203171026</v>
      </c>
      <c r="AH953" s="304">
        <f t="shared" ca="1" si="434"/>
        <v>-7.7574970224824487</v>
      </c>
    </row>
    <row r="954" spans="1:34" x14ac:dyDescent="0.2">
      <c r="A954" s="347">
        <f t="shared" ca="1" si="412"/>
        <v>1E-4</v>
      </c>
      <c r="B954" s="304">
        <f t="shared" ca="1" si="413"/>
        <v>34.742300000001627</v>
      </c>
      <c r="D954" s="306">
        <f t="shared" ca="1" si="414"/>
        <v>-0.71622992764728488</v>
      </c>
      <c r="E954" s="307">
        <f t="shared" ca="1" si="415"/>
        <v>-2.0856024547998366</v>
      </c>
      <c r="F954" s="304">
        <f t="shared" ca="1" si="416"/>
        <v>2.2051582502679348</v>
      </c>
      <c r="G954" s="306">
        <f t="shared" ca="1" si="417"/>
        <v>11.274029261737834</v>
      </c>
      <c r="H954" s="307">
        <f t="shared" ca="1" si="418"/>
        <v>-121.58914786136657</v>
      </c>
      <c r="I954" s="304">
        <f t="shared" ca="1" si="419"/>
        <v>122.11070638337894</v>
      </c>
      <c r="J954" s="306">
        <f t="shared" ca="1" si="420"/>
        <v>786.02923903053897</v>
      </c>
      <c r="K954" s="307">
        <f t="shared" ca="1" si="421"/>
        <v>-13.525531437615717</v>
      </c>
      <c r="L954" s="304">
        <f t="shared" ca="1" si="406"/>
        <v>786.14560013498647</v>
      </c>
      <c r="M954" s="306">
        <f t="shared" ca="1" si="422"/>
        <v>-1.4783383576421636</v>
      </c>
      <c r="N954" s="304">
        <f t="shared" ca="1" si="423"/>
        <v>-84.702548585197647</v>
      </c>
      <c r="P954" s="310">
        <f t="shared" ca="1" si="424"/>
        <v>23</v>
      </c>
      <c r="Q954" s="304">
        <f t="shared" ca="1" si="425"/>
        <v>0</v>
      </c>
      <c r="R954" s="306">
        <f t="shared" ca="1" si="426"/>
        <v>0</v>
      </c>
      <c r="S954" s="307">
        <f t="shared" ca="1" si="427"/>
        <v>7.4799999999999969</v>
      </c>
      <c r="T954" s="304">
        <f t="shared" ca="1" si="407"/>
        <v>73.37879999999997</v>
      </c>
      <c r="U954" s="311">
        <f t="shared" ca="1" si="408"/>
        <v>0</v>
      </c>
      <c r="V954" s="306">
        <f t="shared" ca="1" si="409"/>
        <v>1.226657998866898</v>
      </c>
      <c r="W954" s="304">
        <f t="shared" ca="1" si="410"/>
        <v>58.026601003565204</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2.0105669136755111</v>
      </c>
      <c r="AH954" s="304">
        <f t="shared" ca="1" si="434"/>
        <v>-7.7575320009363775</v>
      </c>
    </row>
    <row r="955" spans="1:34" x14ac:dyDescent="0.2">
      <c r="A955" s="347">
        <f t="shared" ca="1" si="412"/>
        <v>1E-4</v>
      </c>
      <c r="B955" s="304">
        <f t="shared" ca="1" si="413"/>
        <v>34.742400000001631</v>
      </c>
      <c r="D955" s="306">
        <f t="shared" ca="1" si="414"/>
        <v>-0.71622742765505831</v>
      </c>
      <c r="E955" s="307">
        <f t="shared" ca="1" si="415"/>
        <v>-2.0855670948033902</v>
      </c>
      <c r="F955" s="304">
        <f t="shared" ca="1" si="416"/>
        <v>2.2051239953916504</v>
      </c>
      <c r="G955" s="306">
        <f t="shared" ca="1" si="417"/>
        <v>11.273957638995068</v>
      </c>
      <c r="H955" s="307">
        <f t="shared" ca="1" si="418"/>
        <v>-121.58935641807605</v>
      </c>
      <c r="I955" s="304">
        <f t="shared" ca="1" si="419"/>
        <v>122.11090743667327</v>
      </c>
      <c r="J955" s="306">
        <f t="shared" ca="1" si="420"/>
        <v>786.02923903053897</v>
      </c>
      <c r="K955" s="307">
        <f t="shared" ca="1" si="421"/>
        <v>-13.537690362829689</v>
      </c>
      <c r="L955" s="304">
        <f t="shared" ca="1" si="406"/>
        <v>786.14580942169243</v>
      </c>
      <c r="M955" s="306">
        <f t="shared" ca="1" si="422"/>
        <v>-1.4783390993621179</v>
      </c>
      <c r="N955" s="304">
        <f t="shared" ca="1" si="423"/>
        <v>-84.702591082620614</v>
      </c>
      <c r="P955" s="310">
        <f t="shared" ca="1" si="424"/>
        <v>23</v>
      </c>
      <c r="Q955" s="304">
        <f t="shared" ca="1" si="425"/>
        <v>0</v>
      </c>
      <c r="R955" s="306">
        <f t="shared" ca="1" si="426"/>
        <v>0</v>
      </c>
      <c r="S955" s="307">
        <f t="shared" ca="1" si="427"/>
        <v>7.4799999999999969</v>
      </c>
      <c r="T955" s="304">
        <f t="shared" ca="1" si="407"/>
        <v>73.37879999999997</v>
      </c>
      <c r="U955" s="311">
        <f t="shared" ca="1" si="408"/>
        <v>0</v>
      </c>
      <c r="V955" s="306">
        <f t="shared" ca="1" si="409"/>
        <v>1.2266594903527746</v>
      </c>
      <c r="W955" s="304">
        <f t="shared" ca="1" si="410"/>
        <v>58.026862637852012</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2.0105326073261081</v>
      </c>
      <c r="AH955" s="304">
        <f t="shared" ca="1" si="434"/>
        <v>-7.7575669790862607</v>
      </c>
    </row>
    <row r="956" spans="1:34" x14ac:dyDescent="0.2">
      <c r="A956" s="347">
        <f t="shared" ca="1" si="412"/>
        <v>1E-4</v>
      </c>
      <c r="B956" s="304">
        <f t="shared" ca="1" si="413"/>
        <v>34.742500000001634</v>
      </c>
      <c r="D956" s="306">
        <f t="shared" ca="1" si="414"/>
        <v>-0.7162249276379653</v>
      </c>
      <c r="E956" s="307">
        <f t="shared" ca="1" si="415"/>
        <v>-2.085531735114281</v>
      </c>
      <c r="F956" s="304">
        <f t="shared" ca="1" si="416"/>
        <v>2.2050897408356858</v>
      </c>
      <c r="G956" s="306">
        <f t="shared" ca="1" si="417"/>
        <v>11.273886016502304</v>
      </c>
      <c r="H956" s="307">
        <f t="shared" ca="1" si="418"/>
        <v>-121.58956497124956</v>
      </c>
      <c r="I956" s="304">
        <f t="shared" ca="1" si="419"/>
        <v>122.11110848653698</v>
      </c>
      <c r="J956" s="306">
        <f t="shared" ca="1" si="420"/>
        <v>786.02923903053897</v>
      </c>
      <c r="K956" s="307">
        <f t="shared" ca="1" si="421"/>
        <v>-13.549849308899155</v>
      </c>
      <c r="L956" s="304">
        <f t="shared" ca="1" si="406"/>
        <v>786.14601889675816</v>
      </c>
      <c r="M956" s="306">
        <f t="shared" ca="1" si="422"/>
        <v>-1.4783398410749178</v>
      </c>
      <c r="N956" s="304">
        <f t="shared" ca="1" si="423"/>
        <v>-84.702633579633655</v>
      </c>
      <c r="P956" s="310">
        <f t="shared" ca="1" si="424"/>
        <v>23</v>
      </c>
      <c r="Q956" s="304">
        <f t="shared" ca="1" si="425"/>
        <v>0</v>
      </c>
      <c r="R956" s="306">
        <f t="shared" ca="1" si="426"/>
        <v>0</v>
      </c>
      <c r="S956" s="307">
        <f t="shared" ca="1" si="427"/>
        <v>7.4799999999999969</v>
      </c>
      <c r="T956" s="304">
        <f t="shared" ca="1" si="407"/>
        <v>73.37879999999997</v>
      </c>
      <c r="U956" s="311">
        <f t="shared" ca="1" si="408"/>
        <v>0</v>
      </c>
      <c r="V956" s="306">
        <f t="shared" ca="1" si="409"/>
        <v>1.2266609818430243</v>
      </c>
      <c r="W956" s="304">
        <f t="shared" ca="1" si="410"/>
        <v>58.027124269864508</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2.0104983012689051</v>
      </c>
      <c r="AH956" s="304">
        <f t="shared" ca="1" si="434"/>
        <v>-7.7576019569320902</v>
      </c>
    </row>
    <row r="957" spans="1:34" x14ac:dyDescent="0.2">
      <c r="A957" s="347">
        <f t="shared" ca="1" si="412"/>
        <v>1E-4</v>
      </c>
      <c r="B957" s="304">
        <f t="shared" ca="1" si="413"/>
        <v>34.742600000001637</v>
      </c>
      <c r="D957" s="306">
        <f t="shared" ca="1" si="414"/>
        <v>-0.71622242759600585</v>
      </c>
      <c r="E957" s="307">
        <f t="shared" ca="1" si="415"/>
        <v>-2.08549637573251</v>
      </c>
      <c r="F957" s="304">
        <f t="shared" ca="1" si="416"/>
        <v>2.2050554866000427</v>
      </c>
      <c r="G957" s="306">
        <f t="shared" ca="1" si="417"/>
        <v>11.273814394259546</v>
      </c>
      <c r="H957" s="307">
        <f t="shared" ca="1" si="418"/>
        <v>-121.58977352088714</v>
      </c>
      <c r="I957" s="304">
        <f t="shared" ca="1" si="419"/>
        <v>122.11130953297013</v>
      </c>
      <c r="J957" s="306">
        <f t="shared" ca="1" si="420"/>
        <v>786.02923903053897</v>
      </c>
      <c r="K957" s="307">
        <f t="shared" ca="1" si="421"/>
        <v>-13.562008275823763</v>
      </c>
      <c r="L957" s="304">
        <f t="shared" ca="1" si="406"/>
        <v>786.14622856018434</v>
      </c>
      <c r="M957" s="306">
        <f t="shared" ca="1" si="422"/>
        <v>-1.4783405827805634</v>
      </c>
      <c r="N957" s="304">
        <f t="shared" ca="1" si="423"/>
        <v>-84.702676076236784</v>
      </c>
      <c r="P957" s="310">
        <f t="shared" ca="1" si="424"/>
        <v>23</v>
      </c>
      <c r="Q957" s="304">
        <f t="shared" ca="1" si="425"/>
        <v>0</v>
      </c>
      <c r="R957" s="306">
        <f t="shared" ca="1" si="426"/>
        <v>0</v>
      </c>
      <c r="S957" s="307">
        <f t="shared" ca="1" si="427"/>
        <v>7.4799999999999969</v>
      </c>
      <c r="T957" s="304">
        <f t="shared" ca="1" si="407"/>
        <v>73.37879999999997</v>
      </c>
      <c r="U957" s="311">
        <f t="shared" ca="1" si="408"/>
        <v>0</v>
      </c>
      <c r="V957" s="306">
        <f t="shared" ca="1" si="409"/>
        <v>1.2266624733376468</v>
      </c>
      <c r="W957" s="304">
        <f t="shared" ca="1" si="410"/>
        <v>58.027385899602713</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2.0104639955039021</v>
      </c>
      <c r="AH957" s="304">
        <f t="shared" ca="1" si="434"/>
        <v>-7.7576369344738678</v>
      </c>
    </row>
    <row r="958" spans="1:34" x14ac:dyDescent="0.2">
      <c r="A958" s="347">
        <f t="shared" ca="1" si="412"/>
        <v>1E-4</v>
      </c>
      <c r="B958" s="304">
        <f t="shared" ca="1" si="413"/>
        <v>34.742700000001641</v>
      </c>
      <c r="D958" s="306">
        <f t="shared" ca="1" si="414"/>
        <v>-0.71621992752917985</v>
      </c>
      <c r="E958" s="307">
        <f t="shared" ca="1" si="415"/>
        <v>-2.0854610166580718</v>
      </c>
      <c r="F958" s="304">
        <f t="shared" ca="1" si="416"/>
        <v>2.2050212326847154</v>
      </c>
      <c r="G958" s="306">
        <f t="shared" ca="1" si="417"/>
        <v>11.273742772266793</v>
      </c>
      <c r="H958" s="307">
        <f t="shared" ca="1" si="418"/>
        <v>-121.5899820669888</v>
      </c>
      <c r="I958" s="304">
        <f t="shared" ca="1" si="419"/>
        <v>122.11151057597272</v>
      </c>
      <c r="J958" s="306">
        <f t="shared" ca="1" si="420"/>
        <v>786.02923903053897</v>
      </c>
      <c r="K958" s="307">
        <f t="shared" ca="1" si="421"/>
        <v>-13.574167263603156</v>
      </c>
      <c r="L958" s="304">
        <f t="shared" ca="1" si="406"/>
        <v>786.14643841197199</v>
      </c>
      <c r="M958" s="306">
        <f t="shared" ca="1" si="422"/>
        <v>-1.4783413244790544</v>
      </c>
      <c r="N958" s="304">
        <f t="shared" ca="1" si="423"/>
        <v>-84.702718572429987</v>
      </c>
      <c r="P958" s="310">
        <f t="shared" ca="1" si="424"/>
        <v>23</v>
      </c>
      <c r="Q958" s="304">
        <f t="shared" ca="1" si="425"/>
        <v>0</v>
      </c>
      <c r="R958" s="306">
        <f t="shared" ca="1" si="426"/>
        <v>0</v>
      </c>
      <c r="S958" s="307">
        <f t="shared" ca="1" si="427"/>
        <v>7.4799999999999969</v>
      </c>
      <c r="T958" s="304">
        <f t="shared" ca="1" si="407"/>
        <v>73.37879999999997</v>
      </c>
      <c r="U958" s="311">
        <f t="shared" ca="1" si="408"/>
        <v>0</v>
      </c>
      <c r="V958" s="306">
        <f t="shared" ca="1" si="409"/>
        <v>1.2266639648366422</v>
      </c>
      <c r="W958" s="304">
        <f t="shared" ca="1" si="410"/>
        <v>58.027647527066605</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2.010429690031093</v>
      </c>
      <c r="AH958" s="304">
        <f t="shared" ca="1" si="434"/>
        <v>-7.7576719117115962</v>
      </c>
    </row>
    <row r="959" spans="1:34" x14ac:dyDescent="0.2">
      <c r="A959" s="347">
        <f t="shared" ca="1" si="412"/>
        <v>1E-4</v>
      </c>
      <c r="B959" s="304">
        <f t="shared" ca="1" si="413"/>
        <v>34.742800000001644</v>
      </c>
      <c r="D959" s="306">
        <f t="shared" ca="1" si="414"/>
        <v>-0.71621742743748984</v>
      </c>
      <c r="E959" s="307">
        <f t="shared" ca="1" si="415"/>
        <v>-2.0854256578909736</v>
      </c>
      <c r="F959" s="304">
        <f t="shared" ca="1" si="416"/>
        <v>2.2049869790897123</v>
      </c>
      <c r="G959" s="306">
        <f t="shared" ca="1" si="417"/>
        <v>11.273671150524049</v>
      </c>
      <c r="H959" s="307">
        <f t="shared" ca="1" si="418"/>
        <v>-121.59019060955458</v>
      </c>
      <c r="I959" s="304">
        <f t="shared" ca="1" si="419"/>
        <v>122.11171161554478</v>
      </c>
      <c r="J959" s="306">
        <f t="shared" ca="1" si="420"/>
        <v>786.02923903053897</v>
      </c>
      <c r="K959" s="307">
        <f t="shared" ca="1" si="421"/>
        <v>-13.586326272236983</v>
      </c>
      <c r="L959" s="304">
        <f t="shared" ca="1" si="406"/>
        <v>786.14664845212178</v>
      </c>
      <c r="M959" s="306">
        <f t="shared" ca="1" si="422"/>
        <v>-1.4783420661703917</v>
      </c>
      <c r="N959" s="304">
        <f t="shared" ca="1" si="423"/>
        <v>-84.70276106821332</v>
      </c>
      <c r="P959" s="310">
        <f t="shared" ca="1" si="424"/>
        <v>23</v>
      </c>
      <c r="Q959" s="304">
        <f t="shared" ca="1" si="425"/>
        <v>0</v>
      </c>
      <c r="R959" s="306">
        <f t="shared" ca="1" si="426"/>
        <v>0</v>
      </c>
      <c r="S959" s="307">
        <f t="shared" ca="1" si="427"/>
        <v>7.4799999999999969</v>
      </c>
      <c r="T959" s="304">
        <f t="shared" ca="1" si="407"/>
        <v>73.37879999999997</v>
      </c>
      <c r="U959" s="311">
        <f t="shared" ca="1" si="408"/>
        <v>0</v>
      </c>
      <c r="V959" s="306">
        <f t="shared" ca="1" si="409"/>
        <v>1.2266654563400106</v>
      </c>
      <c r="W959" s="304">
        <f t="shared" ca="1" si="410"/>
        <v>58.027909152256186</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2.0103953848504839</v>
      </c>
      <c r="AH959" s="304">
        <f t="shared" ca="1" si="434"/>
        <v>-7.7577068886452709</v>
      </c>
    </row>
    <row r="960" spans="1:34" x14ac:dyDescent="0.2">
      <c r="A960" s="347">
        <f t="shared" ca="1" si="412"/>
        <v>1E-4</v>
      </c>
      <c r="B960" s="304">
        <f t="shared" ca="1" si="413"/>
        <v>34.742900000001647</v>
      </c>
      <c r="D960" s="306">
        <f t="shared" ca="1" si="414"/>
        <v>-0.71621492732093273</v>
      </c>
      <c r="E960" s="307">
        <f t="shared" ca="1" si="415"/>
        <v>-2.0853902994312099</v>
      </c>
      <c r="F960" s="304">
        <f t="shared" ca="1" si="416"/>
        <v>2.2049527258150277</v>
      </c>
      <c r="G960" s="306">
        <f t="shared" ca="1" si="417"/>
        <v>11.273599529031317</v>
      </c>
      <c r="H960" s="307">
        <f t="shared" ca="1" si="418"/>
        <v>-121.59039914858452</v>
      </c>
      <c r="I960" s="304">
        <f t="shared" ca="1" si="419"/>
        <v>122.11191265168635</v>
      </c>
      <c r="J960" s="306">
        <f t="shared" ca="1" si="420"/>
        <v>786.02923903053897</v>
      </c>
      <c r="K960" s="307">
        <f t="shared" ca="1" si="421"/>
        <v>-13.598485301724891</v>
      </c>
      <c r="L960" s="304">
        <f t="shared" ca="1" si="406"/>
        <v>786.14685868063452</v>
      </c>
      <c r="M960" s="306">
        <f t="shared" ca="1" si="422"/>
        <v>-1.4783428078545746</v>
      </c>
      <c r="N960" s="304">
        <f t="shared" ca="1" si="423"/>
        <v>-84.702803563586727</v>
      </c>
      <c r="P960" s="310">
        <f t="shared" ca="1" si="424"/>
        <v>23</v>
      </c>
      <c r="Q960" s="304">
        <f t="shared" ca="1" si="425"/>
        <v>0</v>
      </c>
      <c r="R960" s="306">
        <f t="shared" ca="1" si="426"/>
        <v>0</v>
      </c>
      <c r="S960" s="307">
        <f t="shared" ca="1" si="427"/>
        <v>7.4799999999999969</v>
      </c>
      <c r="T960" s="304">
        <f t="shared" ca="1" si="407"/>
        <v>73.37879999999997</v>
      </c>
      <c r="U960" s="311">
        <f t="shared" ca="1" si="408"/>
        <v>0</v>
      </c>
      <c r="V960" s="306">
        <f t="shared" ca="1" si="409"/>
        <v>1.2266669478477519</v>
      </c>
      <c r="W960" s="304">
        <f t="shared" ca="1" si="410"/>
        <v>58.028170775171482</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2.0103610799620757</v>
      </c>
      <c r="AH960" s="304">
        <f t="shared" ca="1" si="434"/>
        <v>-7.7577418652748946</v>
      </c>
    </row>
    <row r="961" spans="1:34" x14ac:dyDescent="0.2">
      <c r="A961" s="347">
        <f t="shared" ca="1" si="412"/>
        <v>1E-4</v>
      </c>
      <c r="B961" s="304">
        <f t="shared" ca="1" si="413"/>
        <v>34.743000000001651</v>
      </c>
      <c r="D961" s="306">
        <f t="shared" ca="1" si="414"/>
        <v>-0.71621242717951328</v>
      </c>
      <c r="E961" s="307">
        <f t="shared" ca="1" si="415"/>
        <v>-2.0853549412787791</v>
      </c>
      <c r="F961" s="304">
        <f t="shared" ca="1" si="416"/>
        <v>2.2049184728606614</v>
      </c>
      <c r="G961" s="306">
        <f t="shared" ca="1" si="417"/>
        <v>11.273527907788599</v>
      </c>
      <c r="H961" s="307">
        <f t="shared" ca="1" si="418"/>
        <v>-121.59060768407865</v>
      </c>
      <c r="I961" s="304">
        <f t="shared" ca="1" si="419"/>
        <v>122.11211368439747</v>
      </c>
      <c r="J961" s="306">
        <f t="shared" ca="1" si="420"/>
        <v>786.02923903053897</v>
      </c>
      <c r="K961" s="307">
        <f t="shared" ca="1" si="421"/>
        <v>-13.610644352066524</v>
      </c>
      <c r="L961" s="304">
        <f t="shared" ca="1" si="406"/>
        <v>786.14706909751089</v>
      </c>
      <c r="M961" s="306">
        <f t="shared" ca="1" si="422"/>
        <v>-1.4783435495316035</v>
      </c>
      <c r="N961" s="304">
        <f t="shared" ca="1" si="423"/>
        <v>-84.70284605855025</v>
      </c>
      <c r="P961" s="310">
        <f t="shared" ca="1" si="424"/>
        <v>23</v>
      </c>
      <c r="Q961" s="304">
        <f t="shared" ca="1" si="425"/>
        <v>0</v>
      </c>
      <c r="R961" s="306">
        <f t="shared" ca="1" si="426"/>
        <v>0</v>
      </c>
      <c r="S961" s="307">
        <f t="shared" ca="1" si="427"/>
        <v>7.4799999999999969</v>
      </c>
      <c r="T961" s="304">
        <f t="shared" ca="1" si="407"/>
        <v>73.37879999999997</v>
      </c>
      <c r="U961" s="311">
        <f t="shared" ca="1" si="408"/>
        <v>0</v>
      </c>
      <c r="V961" s="306">
        <f t="shared" ca="1" si="409"/>
        <v>1.2266684393598657</v>
      </c>
      <c r="W961" s="304">
        <f t="shared" ca="1" si="410"/>
        <v>58.028432395812466</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2.0103267753658631</v>
      </c>
      <c r="AH961" s="304">
        <f t="shared" ca="1" si="434"/>
        <v>-7.7577768416004691</v>
      </c>
    </row>
    <row r="962" spans="1:34" x14ac:dyDescent="0.2">
      <c r="A962" s="347">
        <f t="shared" ca="1" si="412"/>
        <v>1E-4</v>
      </c>
      <c r="B962" s="304">
        <f t="shared" ca="1" si="413"/>
        <v>34.743100000001654</v>
      </c>
      <c r="D962" s="306">
        <f t="shared" ca="1" si="414"/>
        <v>-0.71620992701323094</v>
      </c>
      <c r="E962" s="307">
        <f t="shared" ca="1" si="415"/>
        <v>-2.0853195834336864</v>
      </c>
      <c r="F962" s="304">
        <f t="shared" ca="1" si="416"/>
        <v>2.2048842202266177</v>
      </c>
      <c r="G962" s="306">
        <f t="shared" ca="1" si="417"/>
        <v>11.273456286795899</v>
      </c>
      <c r="H962" s="307">
        <f t="shared" ca="1" si="418"/>
        <v>-121.590816216037</v>
      </c>
      <c r="I962" s="304">
        <f t="shared" ca="1" si="419"/>
        <v>122.11231471367817</v>
      </c>
      <c r="J962" s="306">
        <f t="shared" ca="1" si="420"/>
        <v>786.02923903053897</v>
      </c>
      <c r="K962" s="307">
        <f t="shared" ca="1" si="421"/>
        <v>-13.62280342326153</v>
      </c>
      <c r="L962" s="304">
        <f t="shared" ca="1" si="406"/>
        <v>786.14727970275203</v>
      </c>
      <c r="M962" s="306">
        <f t="shared" ca="1" si="422"/>
        <v>-1.4783442912014786</v>
      </c>
      <c r="N962" s="304">
        <f t="shared" ca="1" si="423"/>
        <v>-84.70288855310389</v>
      </c>
      <c r="P962" s="310">
        <f t="shared" ca="1" si="424"/>
        <v>23</v>
      </c>
      <c r="Q962" s="304">
        <f t="shared" ca="1" si="425"/>
        <v>0</v>
      </c>
      <c r="R962" s="306">
        <f t="shared" ca="1" si="426"/>
        <v>0</v>
      </c>
      <c r="S962" s="307">
        <f t="shared" ca="1" si="427"/>
        <v>7.4799999999999969</v>
      </c>
      <c r="T962" s="304">
        <f t="shared" ca="1" si="407"/>
        <v>73.37879999999997</v>
      </c>
      <c r="U962" s="311">
        <f t="shared" ca="1" si="408"/>
        <v>0</v>
      </c>
      <c r="V962" s="306">
        <f t="shared" ca="1" si="409"/>
        <v>1.2266699308763527</v>
      </c>
      <c r="W962" s="304">
        <f t="shared" ca="1" si="410"/>
        <v>58.028694014179187</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2.0102924710618497</v>
      </c>
      <c r="AH962" s="304">
        <f t="shared" ca="1" si="434"/>
        <v>-7.7578118176219908</v>
      </c>
    </row>
    <row r="963" spans="1:34" x14ac:dyDescent="0.2">
      <c r="A963" s="347">
        <f t="shared" ca="1" si="412"/>
        <v>1E-4</v>
      </c>
      <c r="B963" s="304">
        <f t="shared" ca="1" si="413"/>
        <v>34.743200000001657</v>
      </c>
      <c r="D963" s="306">
        <f t="shared" ca="1" si="414"/>
        <v>-0.71620742682208616</v>
      </c>
      <c r="E963" s="307">
        <f t="shared" ca="1" si="415"/>
        <v>-2.0852842258959248</v>
      </c>
      <c r="F963" s="304">
        <f t="shared" ca="1" si="416"/>
        <v>2.2048499679128919</v>
      </c>
      <c r="G963" s="306">
        <f t="shared" ca="1" si="417"/>
        <v>11.273384666053216</v>
      </c>
      <c r="H963" s="307">
        <f t="shared" ca="1" si="418"/>
        <v>-121.59102474445959</v>
      </c>
      <c r="I963" s="304">
        <f t="shared" ca="1" si="419"/>
        <v>122.11251573952846</v>
      </c>
      <c r="J963" s="306">
        <f t="shared" ca="1" si="420"/>
        <v>786.02923903053897</v>
      </c>
      <c r="K963" s="307">
        <f t="shared" ca="1" si="421"/>
        <v>-13.634962515309555</v>
      </c>
      <c r="L963" s="304">
        <f t="shared" ca="1" si="406"/>
        <v>786.1474904963585</v>
      </c>
      <c r="M963" s="306">
        <f t="shared" ca="1" si="422"/>
        <v>-1.4783450328641998</v>
      </c>
      <c r="N963" s="304">
        <f t="shared" ca="1" si="423"/>
        <v>-84.702931047247631</v>
      </c>
      <c r="P963" s="310">
        <f t="shared" ca="1" si="424"/>
        <v>23</v>
      </c>
      <c r="Q963" s="304">
        <f t="shared" ca="1" si="425"/>
        <v>0</v>
      </c>
      <c r="R963" s="306">
        <f t="shared" ca="1" si="426"/>
        <v>0</v>
      </c>
      <c r="S963" s="307">
        <f t="shared" ca="1" si="427"/>
        <v>7.4799999999999969</v>
      </c>
      <c r="T963" s="304">
        <f t="shared" ca="1" si="407"/>
        <v>73.37879999999997</v>
      </c>
      <c r="U963" s="311">
        <f t="shared" ca="1" si="408"/>
        <v>0</v>
      </c>
      <c r="V963" s="306">
        <f t="shared" ca="1" si="409"/>
        <v>1.2266714223972122</v>
      </c>
      <c r="W963" s="304">
        <f t="shared" ca="1" si="410"/>
        <v>58.028955630271582</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2.0102581670500284</v>
      </c>
      <c r="AH963" s="304">
        <f t="shared" ca="1" si="434"/>
        <v>-7.7578467933394668</v>
      </c>
    </row>
    <row r="964" spans="1:34" x14ac:dyDescent="0.2">
      <c r="A964" s="347">
        <f t="shared" ca="1" si="412"/>
        <v>1E-4</v>
      </c>
      <c r="B964" s="304">
        <f t="shared" ca="1" si="413"/>
        <v>34.743300000001661</v>
      </c>
      <c r="D964" s="306">
        <f t="shared" ca="1" si="414"/>
        <v>-0.71620492660607926</v>
      </c>
      <c r="E964" s="307">
        <f t="shared" ca="1" si="415"/>
        <v>-2.0852488686655013</v>
      </c>
      <c r="F964" s="304">
        <f t="shared" ca="1" si="416"/>
        <v>2.2048157159194899</v>
      </c>
      <c r="G964" s="306">
        <f t="shared" ca="1" si="417"/>
        <v>11.273313045560556</v>
      </c>
      <c r="H964" s="307">
        <f t="shared" ca="1" si="418"/>
        <v>-121.59123326934646</v>
      </c>
      <c r="I964" s="304">
        <f t="shared" ca="1" si="419"/>
        <v>122.11271676194839</v>
      </c>
      <c r="J964" s="306">
        <f t="shared" ca="1" si="420"/>
        <v>786.02923903053897</v>
      </c>
      <c r="K964" s="307">
        <f t="shared" ca="1" si="421"/>
        <v>-13.647121628210245</v>
      </c>
      <c r="L964" s="304">
        <f t="shared" ref="L964:L1004" ca="1" si="435">SQRT(pos_x^2+pos_z^2)</f>
        <v>786.14770147833121</v>
      </c>
      <c r="M964" s="306">
        <f t="shared" ca="1" si="422"/>
        <v>-1.4783457745197675</v>
      </c>
      <c r="N964" s="304">
        <f t="shared" ca="1" si="423"/>
        <v>-84.702973540981517</v>
      </c>
      <c r="P964" s="310">
        <f t="shared" ca="1" si="424"/>
        <v>23</v>
      </c>
      <c r="Q964" s="304">
        <f t="shared" ca="1" si="425"/>
        <v>0</v>
      </c>
      <c r="R964" s="306">
        <f t="shared" ca="1" si="426"/>
        <v>0</v>
      </c>
      <c r="S964" s="307">
        <f t="shared" ca="1" si="427"/>
        <v>7.4799999999999969</v>
      </c>
      <c r="T964" s="304">
        <f t="shared" ref="T964:T1004" ca="1" si="436">m*g</f>
        <v>73.37879999999997</v>
      </c>
      <c r="U964" s="311">
        <f t="shared" ref="U964:U1004" ca="1" si="437">IF(pos_xz&lt;L_rampe,Poids*COS(Beta),0)</f>
        <v>0</v>
      </c>
      <c r="V964" s="306">
        <f t="shared" ref="V964:V1004" ca="1" si="438">Rho_moyen*(20000-Alt_rampe-pos_z)/(20000+Alt_rampe+pos_z)</f>
        <v>1.2266729139224446</v>
      </c>
      <c r="W964" s="304">
        <f t="shared" ref="W964:W1003" ca="1" si="439">1/2*Rho*Sref*Cx*vit_xz^2</f>
        <v>58.029217244089729</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2.0102238633304115</v>
      </c>
      <c r="AH964" s="304">
        <f t="shared" ca="1" si="434"/>
        <v>-7.7578817687528883</v>
      </c>
    </row>
    <row r="965" spans="1:34" x14ac:dyDescent="0.2">
      <c r="A965" s="347">
        <f t="shared" ref="A965:A1004" ca="1" si="441">IF(B964+0.01&lt;=T_ini+ROUNDUP(Temps_fin_propu,0), 0.01, IF(K964&gt;0, 0.1, 0.0001))</f>
        <v>1E-4</v>
      </c>
      <c r="B965" s="304">
        <f t="shared" ref="B965:B1004" ca="1" si="442">B964+pas</f>
        <v>34.743400000001664</v>
      </c>
      <c r="D965" s="306">
        <f t="shared" ref="D965:D1004" ca="1" si="443">IF(AND(L964&lt;L_rampe,Poussee&lt;Poids*SIN(M964)),0,(-W964+Poussee)/m*COS(M964)-U964/m*SIN(M964))</f>
        <v>-0.71620242636521148</v>
      </c>
      <c r="E965" s="307">
        <f t="shared" ref="E965:E1004" ca="1" si="444">IF(AND(L964&lt;L_rampe,Poussee&lt;Poids*SIN(M964)),0,(-W964+Poussee)/m*SIN(M964)+U964/m*COS(M964)-Poids/m)</f>
        <v>-2.0852135117424062</v>
      </c>
      <c r="F965" s="304">
        <f t="shared" ref="F965:F1004" ca="1" si="445">SQRT(acc_x^2+acc_z^2)</f>
        <v>2.2047814642464032</v>
      </c>
      <c r="G965" s="306">
        <f t="shared" ref="G965:G1004" ca="1" si="446">G964+acc_x*pas</f>
        <v>11.27324142531792</v>
      </c>
      <c r="H965" s="307">
        <f t="shared" ref="H965:H1004" ca="1" si="447">H964+acc_z*pas</f>
        <v>-121.59144179069763</v>
      </c>
      <c r="I965" s="304">
        <f t="shared" ref="I965:I1004" ca="1" si="448">SQRT(vit_x^2+vit_z^2)</f>
        <v>122.11291778093796</v>
      </c>
      <c r="J965" s="306">
        <f t="shared" ref="J965:J1004" ca="1" si="449">J964+0.5*(vit_x+G964)*pas*(K964&gt;=0)</f>
        <v>786.02923903053897</v>
      </c>
      <c r="K965" s="307">
        <f t="shared" ref="K965:K1004" ca="1" si="450">K964+0.5*(vit_z+H964)*pas</f>
        <v>-13.659280761963247</v>
      </c>
      <c r="L965" s="304">
        <f t="shared" ca="1" si="435"/>
        <v>786.14791264867085</v>
      </c>
      <c r="M965" s="306">
        <f t="shared" ref="M965:M1004" ca="1" si="451">IF(AND(L964&gt;L_rampe,G965&gt;0),ATAN2(G965,H965),$M$4)</f>
        <v>-1.4783465161681817</v>
      </c>
      <c r="N965" s="304">
        <f t="shared" ref="N965:N1004" ca="1" si="452">DEGREES(Beta)</f>
        <v>-84.703016034305534</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7.4799999999999969</v>
      </c>
      <c r="T965" s="304">
        <f t="shared" ca="1" si="436"/>
        <v>73.37879999999997</v>
      </c>
      <c r="U965" s="311">
        <f t="shared" ca="1" si="437"/>
        <v>0</v>
      </c>
      <c r="V965" s="306">
        <f t="shared" ca="1" si="438"/>
        <v>1.2266744054520498</v>
      </c>
      <c r="W965" s="304">
        <f t="shared" ca="1" si="439"/>
        <v>58.029478855633549</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2.0101895599029858</v>
      </c>
      <c r="AH965" s="304">
        <f t="shared" ref="AH965:AH1004" ca="1" si="463">IF(AND(L964&lt;L_rampe,Poussee&lt;Poids*SIN(M964)), g*SIN(M964), (-W964+Poussee)/m)</f>
        <v>-7.7579167438622667</v>
      </c>
    </row>
    <row r="966" spans="1:34" x14ac:dyDescent="0.2">
      <c r="A966" s="347">
        <f t="shared" ca="1" si="441"/>
        <v>1E-4</v>
      </c>
      <c r="B966" s="304">
        <f t="shared" ca="1" si="442"/>
        <v>34.743500000001667</v>
      </c>
      <c r="D966" s="306">
        <f t="shared" ca="1" si="443"/>
        <v>-0.71619992609948102</v>
      </c>
      <c r="E966" s="307">
        <f t="shared" ca="1" si="444"/>
        <v>-2.0851781551266502</v>
      </c>
      <c r="F966" s="304">
        <f t="shared" ca="1" si="445"/>
        <v>2.2047472128936421</v>
      </c>
      <c r="G966" s="306">
        <f t="shared" ca="1" si="446"/>
        <v>11.27316980532531</v>
      </c>
      <c r="H966" s="307">
        <f t="shared" ca="1" si="447"/>
        <v>-121.59165030851314</v>
      </c>
      <c r="I966" s="304">
        <f t="shared" ca="1" si="448"/>
        <v>122.11311879649722</v>
      </c>
      <c r="J966" s="306">
        <f t="shared" ca="1" si="449"/>
        <v>786.02923903053897</v>
      </c>
      <c r="K966" s="307">
        <f t="shared" ca="1" si="450"/>
        <v>-13.671439916568207</v>
      </c>
      <c r="L966" s="304">
        <f t="shared" ca="1" si="435"/>
        <v>786.14812400737844</v>
      </c>
      <c r="M966" s="306">
        <f t="shared" ca="1" si="451"/>
        <v>-1.4783472578094423</v>
      </c>
      <c r="N966" s="304">
        <f t="shared" ca="1" si="452"/>
        <v>-84.703058527219682</v>
      </c>
      <c r="P966" s="310">
        <f t="shared" ca="1" si="453"/>
        <v>23</v>
      </c>
      <c r="Q966" s="304">
        <f t="shared" ca="1" si="454"/>
        <v>0</v>
      </c>
      <c r="R966" s="306">
        <f t="shared" ca="1" si="455"/>
        <v>0</v>
      </c>
      <c r="S966" s="307">
        <f t="shared" ca="1" si="456"/>
        <v>7.4799999999999969</v>
      </c>
      <c r="T966" s="304">
        <f t="shared" ca="1" si="436"/>
        <v>73.37879999999997</v>
      </c>
      <c r="U966" s="311">
        <f t="shared" ca="1" si="437"/>
        <v>0</v>
      </c>
      <c r="V966" s="306">
        <f t="shared" ca="1" si="438"/>
        <v>1.2266758969860272</v>
      </c>
      <c r="W966" s="304">
        <f t="shared" ca="1" si="439"/>
        <v>58.029740464903071</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2.0101552567677619</v>
      </c>
      <c r="AH966" s="304">
        <f t="shared" ca="1" si="463"/>
        <v>-7.7579517186675897</v>
      </c>
    </row>
    <row r="967" spans="1:34" x14ac:dyDescent="0.2">
      <c r="A967" s="347">
        <f t="shared" ca="1" si="441"/>
        <v>1E-4</v>
      </c>
      <c r="B967" s="304">
        <f t="shared" ca="1" si="442"/>
        <v>34.74360000000167</v>
      </c>
      <c r="D967" s="306">
        <f t="shared" ca="1" si="443"/>
        <v>-0.71619742580889156</v>
      </c>
      <c r="E967" s="307">
        <f t="shared" ca="1" si="444"/>
        <v>-2.0851427988182296</v>
      </c>
      <c r="F967" s="304">
        <f t="shared" ca="1" si="445"/>
        <v>2.2047129618612042</v>
      </c>
      <c r="G967" s="306">
        <f t="shared" ca="1" si="446"/>
        <v>11.273098185582729</v>
      </c>
      <c r="H967" s="307">
        <f t="shared" ca="1" si="447"/>
        <v>-121.59185882279301</v>
      </c>
      <c r="I967" s="304">
        <f t="shared" ca="1" si="448"/>
        <v>122.11331980862619</v>
      </c>
      <c r="J967" s="306">
        <f t="shared" ca="1" si="449"/>
        <v>786.02923903053897</v>
      </c>
      <c r="K967" s="307">
        <f t="shared" ca="1" si="450"/>
        <v>-13.683599092024773</v>
      </c>
      <c r="L967" s="304">
        <f t="shared" ca="1" si="435"/>
        <v>786.14833555445466</v>
      </c>
      <c r="M967" s="306">
        <f t="shared" ca="1" si="451"/>
        <v>-1.4783479994435496</v>
      </c>
      <c r="N967" s="304">
        <f t="shared" ca="1" si="452"/>
        <v>-84.70310101972396</v>
      </c>
      <c r="P967" s="310">
        <f t="shared" ca="1" si="453"/>
        <v>23</v>
      </c>
      <c r="Q967" s="304">
        <f t="shared" ca="1" si="454"/>
        <v>0</v>
      </c>
      <c r="R967" s="306">
        <f t="shared" ca="1" si="455"/>
        <v>0</v>
      </c>
      <c r="S967" s="307">
        <f t="shared" ca="1" si="456"/>
        <v>7.4799999999999969</v>
      </c>
      <c r="T967" s="304">
        <f t="shared" ca="1" si="436"/>
        <v>73.37879999999997</v>
      </c>
      <c r="U967" s="311">
        <f t="shared" ca="1" si="437"/>
        <v>0</v>
      </c>
      <c r="V967" s="306">
        <f t="shared" ca="1" si="438"/>
        <v>1.2266773885243778</v>
      </c>
      <c r="W967" s="304">
        <f t="shared" ca="1" si="439"/>
        <v>58.030002071898323</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2.0101209539247398</v>
      </c>
      <c r="AH967" s="304">
        <f t="shared" ca="1" si="463"/>
        <v>-7.7579866931688626</v>
      </c>
    </row>
    <row r="968" spans="1:34" x14ac:dyDescent="0.2">
      <c r="A968" s="347">
        <f t="shared" ca="1" si="441"/>
        <v>1E-4</v>
      </c>
      <c r="B968" s="304">
        <f t="shared" ca="1" si="442"/>
        <v>34.743700000001674</v>
      </c>
      <c r="D968" s="306">
        <f t="shared" ca="1" si="443"/>
        <v>-0.71619492549344344</v>
      </c>
      <c r="E968" s="307">
        <f t="shared" ca="1" si="444"/>
        <v>-2.085107442817141</v>
      </c>
      <c r="F968" s="304">
        <f t="shared" ca="1" si="445"/>
        <v>2.2046787111490862</v>
      </c>
      <c r="G968" s="306">
        <f t="shared" ca="1" si="446"/>
        <v>11.273026566090179</v>
      </c>
      <c r="H968" s="307">
        <f t="shared" ca="1" si="447"/>
        <v>-121.5920673335373</v>
      </c>
      <c r="I968" s="304">
        <f t="shared" ca="1" si="448"/>
        <v>122.11352081732491</v>
      </c>
      <c r="J968" s="306">
        <f t="shared" ca="1" si="449"/>
        <v>786.02923903053897</v>
      </c>
      <c r="K968" s="307">
        <f t="shared" ca="1" si="450"/>
        <v>-13.695758288332589</v>
      </c>
      <c r="L968" s="304">
        <f t="shared" ca="1" si="435"/>
        <v>786.14854728990031</v>
      </c>
      <c r="M968" s="306">
        <f t="shared" ca="1" si="451"/>
        <v>-1.4783487410705034</v>
      </c>
      <c r="N968" s="304">
        <f t="shared" ca="1" si="452"/>
        <v>-84.703143511818396</v>
      </c>
      <c r="P968" s="310">
        <f t="shared" ca="1" si="453"/>
        <v>23</v>
      </c>
      <c r="Q968" s="304">
        <f t="shared" ca="1" si="454"/>
        <v>0</v>
      </c>
      <c r="R968" s="306">
        <f t="shared" ca="1" si="455"/>
        <v>0</v>
      </c>
      <c r="S968" s="307">
        <f t="shared" ca="1" si="456"/>
        <v>7.4799999999999969</v>
      </c>
      <c r="T968" s="304">
        <f t="shared" ca="1" si="436"/>
        <v>73.37879999999997</v>
      </c>
      <c r="U968" s="311">
        <f t="shared" ca="1" si="437"/>
        <v>0</v>
      </c>
      <c r="V968" s="306">
        <f t="shared" ca="1" si="438"/>
        <v>1.2266788800671007</v>
      </c>
      <c r="W968" s="304">
        <f t="shared" ca="1" si="439"/>
        <v>58.030263676619306</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2.0100866513739106</v>
      </c>
      <c r="AH968" s="304">
        <f t="shared" ca="1" si="463"/>
        <v>-7.7580216673660889</v>
      </c>
    </row>
    <row r="969" spans="1:34" x14ac:dyDescent="0.2">
      <c r="A969" s="347">
        <f t="shared" ca="1" si="441"/>
        <v>1E-4</v>
      </c>
      <c r="B969" s="304">
        <f t="shared" ca="1" si="442"/>
        <v>34.743800000001677</v>
      </c>
      <c r="D969" s="306">
        <f t="shared" ca="1" si="443"/>
        <v>-0.71619242515313775</v>
      </c>
      <c r="E969" s="307">
        <f t="shared" ca="1" si="444"/>
        <v>-2.0850720871233817</v>
      </c>
      <c r="F969" s="304">
        <f t="shared" ca="1" si="445"/>
        <v>2.204644460757287</v>
      </c>
      <c r="G969" s="306">
        <f t="shared" ca="1" si="446"/>
        <v>11.272954946847664</v>
      </c>
      <c r="H969" s="307">
        <f t="shared" ca="1" si="447"/>
        <v>-121.59227584074601</v>
      </c>
      <c r="I969" s="304">
        <f t="shared" ca="1" si="448"/>
        <v>122.1137218225934</v>
      </c>
      <c r="J969" s="306">
        <f t="shared" ca="1" si="449"/>
        <v>786.02923903053897</v>
      </c>
      <c r="K969" s="307">
        <f t="shared" ca="1" si="450"/>
        <v>-13.707917505491304</v>
      </c>
      <c r="L969" s="304">
        <f t="shared" ca="1" si="435"/>
        <v>786.14875921371629</v>
      </c>
      <c r="M969" s="306">
        <f t="shared" ca="1" si="451"/>
        <v>-1.4783494826903043</v>
      </c>
      <c r="N969" s="304">
        <f t="shared" ca="1" si="452"/>
        <v>-84.703186003502992</v>
      </c>
      <c r="P969" s="310">
        <f t="shared" ca="1" si="453"/>
        <v>23</v>
      </c>
      <c r="Q969" s="304">
        <f t="shared" ca="1" si="454"/>
        <v>0</v>
      </c>
      <c r="R969" s="306">
        <f t="shared" ca="1" si="455"/>
        <v>0</v>
      </c>
      <c r="S969" s="307">
        <f t="shared" ca="1" si="456"/>
        <v>7.4799999999999969</v>
      </c>
      <c r="T969" s="304">
        <f t="shared" ca="1" si="436"/>
        <v>73.37879999999997</v>
      </c>
      <c r="U969" s="311">
        <f t="shared" ca="1" si="437"/>
        <v>0</v>
      </c>
      <c r="V969" s="306">
        <f t="shared" ca="1" si="438"/>
        <v>1.2266803716141959</v>
      </c>
      <c r="W969" s="304">
        <f t="shared" ca="1" si="439"/>
        <v>58.030525279065948</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2.010052349115278</v>
      </c>
      <c r="AH969" s="304">
        <f t="shared" ca="1" si="463"/>
        <v>-7.7580566412592686</v>
      </c>
    </row>
    <row r="970" spans="1:34" x14ac:dyDescent="0.2">
      <c r="A970" s="347">
        <f t="shared" ca="1" si="441"/>
        <v>1E-4</v>
      </c>
      <c r="B970" s="304">
        <f t="shared" ca="1" si="442"/>
        <v>34.74390000000168</v>
      </c>
      <c r="D970" s="306">
        <f t="shared" ca="1" si="443"/>
        <v>-0.71618992478797172</v>
      </c>
      <c r="E970" s="307">
        <f t="shared" ca="1" si="444"/>
        <v>-2.085036731736964</v>
      </c>
      <c r="F970" s="304">
        <f t="shared" ca="1" si="445"/>
        <v>2.2046102106858165</v>
      </c>
      <c r="G970" s="306">
        <f t="shared" ca="1" si="446"/>
        <v>11.272883327855185</v>
      </c>
      <c r="H970" s="307">
        <f t="shared" ca="1" si="447"/>
        <v>-121.59248434441919</v>
      </c>
      <c r="I970" s="304">
        <f t="shared" ca="1" si="448"/>
        <v>122.1139228244317</v>
      </c>
      <c r="J970" s="306">
        <f t="shared" ca="1" si="449"/>
        <v>786.02923903053897</v>
      </c>
      <c r="K970" s="307">
        <f t="shared" ca="1" si="450"/>
        <v>-13.720076743500563</v>
      </c>
      <c r="L970" s="304">
        <f t="shared" ca="1" si="435"/>
        <v>786.14897132590318</v>
      </c>
      <c r="M970" s="306">
        <f t="shared" ca="1" si="451"/>
        <v>-1.4783502243029518</v>
      </c>
      <c r="N970" s="304">
        <f t="shared" ca="1" si="452"/>
        <v>-84.703228494777719</v>
      </c>
      <c r="P970" s="310">
        <f t="shared" ca="1" si="453"/>
        <v>23</v>
      </c>
      <c r="Q970" s="304">
        <f t="shared" ca="1" si="454"/>
        <v>0</v>
      </c>
      <c r="R970" s="306">
        <f t="shared" ca="1" si="455"/>
        <v>0</v>
      </c>
      <c r="S970" s="307">
        <f t="shared" ca="1" si="456"/>
        <v>7.4799999999999969</v>
      </c>
      <c r="T970" s="304">
        <f t="shared" ca="1" si="436"/>
        <v>73.37879999999997</v>
      </c>
      <c r="U970" s="311">
        <f t="shared" ca="1" si="437"/>
        <v>0</v>
      </c>
      <c r="V970" s="306">
        <f t="shared" ca="1" si="438"/>
        <v>1.226681863165664</v>
      </c>
      <c r="W970" s="304">
        <f t="shared" ca="1" si="439"/>
        <v>58.030786879238349</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2.0100180471488516</v>
      </c>
      <c r="AH970" s="304">
        <f t="shared" ca="1" si="463"/>
        <v>-7.758091614848392</v>
      </c>
    </row>
    <row r="971" spans="1:34" x14ac:dyDescent="0.2">
      <c r="A971" s="347">
        <f t="shared" ca="1" si="441"/>
        <v>1E-4</v>
      </c>
      <c r="B971" s="304">
        <f t="shared" ca="1" si="442"/>
        <v>34.744000000001684</v>
      </c>
      <c r="D971" s="306">
        <f t="shared" ca="1" si="443"/>
        <v>-0.71618742439795136</v>
      </c>
      <c r="E971" s="307">
        <f t="shared" ca="1" si="444"/>
        <v>-2.0850013766578739</v>
      </c>
      <c r="F971" s="304">
        <f t="shared" ca="1" si="445"/>
        <v>2.2045759609346649</v>
      </c>
      <c r="G971" s="306">
        <f t="shared" ca="1" si="446"/>
        <v>11.272811709112744</v>
      </c>
      <c r="H971" s="307">
        <f t="shared" ca="1" si="447"/>
        <v>-121.59269284455685</v>
      </c>
      <c r="I971" s="304">
        <f t="shared" ca="1" si="448"/>
        <v>122.11412382283983</v>
      </c>
      <c r="J971" s="306">
        <f t="shared" ca="1" si="449"/>
        <v>786.02923903053897</v>
      </c>
      <c r="K971" s="307">
        <f t="shared" ca="1" si="450"/>
        <v>-13.732236002360011</v>
      </c>
      <c r="L971" s="304">
        <f t="shared" ca="1" si="435"/>
        <v>786.14918362646199</v>
      </c>
      <c r="M971" s="306">
        <f t="shared" ca="1" si="451"/>
        <v>-1.4783509659084466</v>
      </c>
      <c r="N971" s="304">
        <f t="shared" ca="1" si="452"/>
        <v>-84.703270985642632</v>
      </c>
      <c r="P971" s="310">
        <f t="shared" ca="1" si="453"/>
        <v>23</v>
      </c>
      <c r="Q971" s="304">
        <f t="shared" ca="1" si="454"/>
        <v>0</v>
      </c>
      <c r="R971" s="306">
        <f t="shared" ca="1" si="455"/>
        <v>0</v>
      </c>
      <c r="S971" s="307">
        <f t="shared" ca="1" si="456"/>
        <v>7.4799999999999969</v>
      </c>
      <c r="T971" s="304">
        <f t="shared" ca="1" si="436"/>
        <v>73.37879999999997</v>
      </c>
      <c r="U971" s="311">
        <f t="shared" ca="1" si="437"/>
        <v>0</v>
      </c>
      <c r="V971" s="306">
        <f t="shared" ca="1" si="438"/>
        <v>1.2266833547215048</v>
      </c>
      <c r="W971" s="304">
        <f t="shared" ca="1" si="439"/>
        <v>58.031048477136487</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2.0099837454746181</v>
      </c>
      <c r="AH971" s="304">
        <f t="shared" ca="1" si="463"/>
        <v>-7.7581265881334724</v>
      </c>
    </row>
    <row r="972" spans="1:34" x14ac:dyDescent="0.2">
      <c r="A972" s="347">
        <f t="shared" ca="1" si="441"/>
        <v>1E-4</v>
      </c>
      <c r="B972" s="304">
        <f t="shared" ca="1" si="442"/>
        <v>34.744100000001687</v>
      </c>
      <c r="D972" s="306">
        <f t="shared" ca="1" si="443"/>
        <v>-0.71618492398307287</v>
      </c>
      <c r="E972" s="307">
        <f t="shared" ca="1" si="444"/>
        <v>-2.0849660218861148</v>
      </c>
      <c r="F972" s="304">
        <f t="shared" ca="1" si="445"/>
        <v>2.204541711503833</v>
      </c>
      <c r="G972" s="306">
        <f t="shared" ca="1" si="446"/>
        <v>11.272740090620346</v>
      </c>
      <c r="H972" s="307">
        <f t="shared" ca="1" si="447"/>
        <v>-121.59290134115903</v>
      </c>
      <c r="I972" s="304">
        <f t="shared" ca="1" si="448"/>
        <v>122.1143248178178</v>
      </c>
      <c r="J972" s="306">
        <f t="shared" ca="1" si="449"/>
        <v>786.02923903053897</v>
      </c>
      <c r="K972" s="307">
        <f t="shared" ca="1" si="450"/>
        <v>-13.744395282069297</v>
      </c>
      <c r="L972" s="304">
        <f t="shared" ca="1" si="435"/>
        <v>786.14939611539364</v>
      </c>
      <c r="M972" s="306">
        <f t="shared" ca="1" si="451"/>
        <v>-1.4783517075067885</v>
      </c>
      <c r="N972" s="304">
        <f t="shared" ca="1" si="452"/>
        <v>-84.703313476097719</v>
      </c>
      <c r="P972" s="310">
        <f t="shared" ca="1" si="453"/>
        <v>23</v>
      </c>
      <c r="Q972" s="304">
        <f t="shared" ca="1" si="454"/>
        <v>0</v>
      </c>
      <c r="R972" s="306">
        <f t="shared" ca="1" si="455"/>
        <v>0</v>
      </c>
      <c r="S972" s="307">
        <f t="shared" ca="1" si="456"/>
        <v>7.4799999999999969</v>
      </c>
      <c r="T972" s="304">
        <f t="shared" ca="1" si="436"/>
        <v>73.37879999999997</v>
      </c>
      <c r="U972" s="311">
        <f t="shared" ca="1" si="437"/>
        <v>0</v>
      </c>
      <c r="V972" s="306">
        <f t="shared" ca="1" si="438"/>
        <v>1.2266848462817177</v>
      </c>
      <c r="W972" s="304">
        <f t="shared" ca="1" si="439"/>
        <v>58.031310072760284</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2.009949444092582</v>
      </c>
      <c r="AH972" s="304">
        <f t="shared" ca="1" si="463"/>
        <v>-7.7581615611145072</v>
      </c>
    </row>
    <row r="973" spans="1:34" x14ac:dyDescent="0.2">
      <c r="A973" s="347">
        <f t="shared" ca="1" si="441"/>
        <v>1E-4</v>
      </c>
      <c r="B973" s="304">
        <f t="shared" ca="1" si="442"/>
        <v>34.74420000000169</v>
      </c>
      <c r="D973" s="306">
        <f t="shared" ca="1" si="443"/>
        <v>-0.71618242354333839</v>
      </c>
      <c r="E973" s="307">
        <f t="shared" ca="1" si="444"/>
        <v>-2.0849306674216956</v>
      </c>
      <c r="F973" s="304">
        <f t="shared" ca="1" si="445"/>
        <v>2.2045074623933316</v>
      </c>
      <c r="G973" s="306">
        <f t="shared" ca="1" si="446"/>
        <v>11.272668472377992</v>
      </c>
      <c r="H973" s="307">
        <f t="shared" ca="1" si="447"/>
        <v>-121.59310983422577</v>
      </c>
      <c r="I973" s="304">
        <f t="shared" ca="1" si="448"/>
        <v>122.11452580936567</v>
      </c>
      <c r="J973" s="306">
        <f t="shared" ca="1" si="449"/>
        <v>786.02923903053897</v>
      </c>
      <c r="K973" s="307">
        <f t="shared" ca="1" si="450"/>
        <v>-13.756554582628066</v>
      </c>
      <c r="L973" s="304">
        <f t="shared" ca="1" si="435"/>
        <v>786.14960879269859</v>
      </c>
      <c r="M973" s="306">
        <f t="shared" ca="1" si="451"/>
        <v>-1.4783524490979776</v>
      </c>
      <c r="N973" s="304">
        <f t="shared" ca="1" si="452"/>
        <v>-84.703355966142979</v>
      </c>
      <c r="P973" s="310">
        <f t="shared" ca="1" si="453"/>
        <v>23</v>
      </c>
      <c r="Q973" s="304">
        <f t="shared" ca="1" si="454"/>
        <v>0</v>
      </c>
      <c r="R973" s="306">
        <f t="shared" ca="1" si="455"/>
        <v>0</v>
      </c>
      <c r="S973" s="307">
        <f t="shared" ca="1" si="456"/>
        <v>7.4799999999999969</v>
      </c>
      <c r="T973" s="304">
        <f t="shared" ca="1" si="436"/>
        <v>73.37879999999997</v>
      </c>
      <c r="U973" s="311">
        <f t="shared" ca="1" si="437"/>
        <v>0</v>
      </c>
      <c r="V973" s="306">
        <f t="shared" ca="1" si="438"/>
        <v>1.2266863378463035</v>
      </c>
      <c r="W973" s="304">
        <f t="shared" ca="1" si="439"/>
        <v>58.031571666109862</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2.0099151430027504</v>
      </c>
      <c r="AH973" s="304">
        <f t="shared" ca="1" si="463"/>
        <v>-7.7581965337914855</v>
      </c>
    </row>
    <row r="974" spans="1:34" x14ac:dyDescent="0.2">
      <c r="A974" s="347">
        <f t="shared" ca="1" si="441"/>
        <v>1E-4</v>
      </c>
      <c r="B974" s="304">
        <f t="shared" ca="1" si="442"/>
        <v>34.744300000001694</v>
      </c>
      <c r="D974" s="306">
        <f t="shared" ca="1" si="443"/>
        <v>-0.71617992307874889</v>
      </c>
      <c r="E974" s="307">
        <f t="shared" ca="1" si="444"/>
        <v>-2.0848953132646022</v>
      </c>
      <c r="F974" s="304">
        <f t="shared" ca="1" si="445"/>
        <v>2.2044732136031473</v>
      </c>
      <c r="G974" s="306">
        <f t="shared" ca="1" si="446"/>
        <v>11.272596854385684</v>
      </c>
      <c r="H974" s="307">
        <f t="shared" ca="1" si="447"/>
        <v>-121.5933183237571</v>
      </c>
      <c r="I974" s="304">
        <f t="shared" ca="1" si="448"/>
        <v>122.11472679748348</v>
      </c>
      <c r="J974" s="306">
        <f t="shared" ca="1" si="449"/>
        <v>786.02923903053897</v>
      </c>
      <c r="K974" s="307">
        <f t="shared" ca="1" si="450"/>
        <v>-13.768713904035966</v>
      </c>
      <c r="L974" s="304">
        <f t="shared" ca="1" si="435"/>
        <v>786.14982165837796</v>
      </c>
      <c r="M974" s="306">
        <f t="shared" ca="1" si="451"/>
        <v>-1.4783531906820142</v>
      </c>
      <c r="N974" s="304">
        <f t="shared" ca="1" si="452"/>
        <v>-84.703398455778441</v>
      </c>
      <c r="P974" s="310">
        <f t="shared" ca="1" si="453"/>
        <v>23</v>
      </c>
      <c r="Q974" s="304">
        <f t="shared" ca="1" si="454"/>
        <v>0</v>
      </c>
      <c r="R974" s="306">
        <f t="shared" ca="1" si="455"/>
        <v>0</v>
      </c>
      <c r="S974" s="307">
        <f t="shared" ca="1" si="456"/>
        <v>7.4799999999999969</v>
      </c>
      <c r="T974" s="304">
        <f t="shared" ca="1" si="436"/>
        <v>73.37879999999997</v>
      </c>
      <c r="U974" s="311">
        <f t="shared" ca="1" si="437"/>
        <v>0</v>
      </c>
      <c r="V974" s="306">
        <f t="shared" ca="1" si="438"/>
        <v>1.2266878294152612</v>
      </c>
      <c r="W974" s="304">
        <f t="shared" ca="1" si="439"/>
        <v>58.031833257185127</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2.0098808422051073</v>
      </c>
      <c r="AH974" s="304">
        <f t="shared" ca="1" si="463"/>
        <v>-7.7582315061644236</v>
      </c>
    </row>
    <row r="975" spans="1:34" x14ac:dyDescent="0.2">
      <c r="A975" s="347">
        <f t="shared" ca="1" si="441"/>
        <v>1E-4</v>
      </c>
      <c r="B975" s="304">
        <f t="shared" ca="1" si="442"/>
        <v>34.744400000001697</v>
      </c>
      <c r="D975" s="306">
        <f t="shared" ca="1" si="443"/>
        <v>-0.71617742258930317</v>
      </c>
      <c r="E975" s="307">
        <f t="shared" ca="1" si="444"/>
        <v>-2.0848599594148451</v>
      </c>
      <c r="F975" s="304">
        <f t="shared" ca="1" si="445"/>
        <v>2.204438965133289</v>
      </c>
      <c r="G975" s="306">
        <f t="shared" ca="1" si="446"/>
        <v>11.272525236643425</v>
      </c>
      <c r="H975" s="307">
        <f t="shared" ca="1" si="447"/>
        <v>-121.59352680975304</v>
      </c>
      <c r="I975" s="304">
        <f t="shared" ca="1" si="448"/>
        <v>122.11492778217124</v>
      </c>
      <c r="J975" s="306">
        <f t="shared" ca="1" si="449"/>
        <v>786.02923903053897</v>
      </c>
      <c r="K975" s="307">
        <f t="shared" ca="1" si="450"/>
        <v>-13.780873246292641</v>
      </c>
      <c r="L975" s="304">
        <f t="shared" ca="1" si="435"/>
        <v>786.15003471243233</v>
      </c>
      <c r="M975" s="306">
        <f t="shared" ca="1" si="451"/>
        <v>-1.4783539322588981</v>
      </c>
      <c r="N975" s="304">
        <f t="shared" ca="1" si="452"/>
        <v>-84.703440945004061</v>
      </c>
      <c r="P975" s="310">
        <f t="shared" ca="1" si="453"/>
        <v>23</v>
      </c>
      <c r="Q975" s="304">
        <f t="shared" ca="1" si="454"/>
        <v>0</v>
      </c>
      <c r="R975" s="306">
        <f t="shared" ca="1" si="455"/>
        <v>0</v>
      </c>
      <c r="S975" s="307">
        <f t="shared" ca="1" si="456"/>
        <v>7.4799999999999969</v>
      </c>
      <c r="T975" s="304">
        <f t="shared" ca="1" si="436"/>
        <v>73.37879999999997</v>
      </c>
      <c r="U975" s="311">
        <f t="shared" ca="1" si="437"/>
        <v>0</v>
      </c>
      <c r="V975" s="306">
        <f t="shared" ca="1" si="438"/>
        <v>1.2266893209885916</v>
      </c>
      <c r="W975" s="304">
        <f t="shared" ca="1" si="439"/>
        <v>58.03209484598613</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2.0098465416996723</v>
      </c>
      <c r="AH975" s="304">
        <f t="shared" ca="1" si="463"/>
        <v>-7.7582664782333088</v>
      </c>
    </row>
    <row r="976" spans="1:34" x14ac:dyDescent="0.2">
      <c r="A976" s="347">
        <f t="shared" ca="1" si="441"/>
        <v>1E-4</v>
      </c>
      <c r="B976" s="304">
        <f t="shared" ca="1" si="442"/>
        <v>34.7445000000017</v>
      </c>
      <c r="D976" s="306">
        <f t="shared" ca="1" si="443"/>
        <v>-0.7161749220750051</v>
      </c>
      <c r="E976" s="307">
        <f t="shared" ca="1" si="444"/>
        <v>-2.0848246058724182</v>
      </c>
      <c r="F976" s="304">
        <f t="shared" ca="1" si="445"/>
        <v>2.204404716983754</v>
      </c>
      <c r="G976" s="306">
        <f t="shared" ca="1" si="446"/>
        <v>11.272453619151218</v>
      </c>
      <c r="H976" s="307">
        <f t="shared" ca="1" si="447"/>
        <v>-121.59373529221364</v>
      </c>
      <c r="I976" s="304">
        <f t="shared" ca="1" si="448"/>
        <v>122.11512876342897</v>
      </c>
      <c r="J976" s="306">
        <f t="shared" ca="1" si="449"/>
        <v>786.02923903053897</v>
      </c>
      <c r="K976" s="307">
        <f t="shared" ca="1" si="450"/>
        <v>-13.79303260939774</v>
      </c>
      <c r="L976" s="304">
        <f t="shared" ca="1" si="435"/>
        <v>786.15024795486272</v>
      </c>
      <c r="M976" s="306">
        <f t="shared" ca="1" si="451"/>
        <v>-1.4783546738286295</v>
      </c>
      <c r="N976" s="304">
        <f t="shared" ca="1" si="452"/>
        <v>-84.703483433819883</v>
      </c>
      <c r="P976" s="310">
        <f t="shared" ca="1" si="453"/>
        <v>23</v>
      </c>
      <c r="Q976" s="304">
        <f t="shared" ca="1" si="454"/>
        <v>0</v>
      </c>
      <c r="R976" s="306">
        <f t="shared" ca="1" si="455"/>
        <v>0</v>
      </c>
      <c r="S976" s="307">
        <f t="shared" ca="1" si="456"/>
        <v>7.4799999999999969</v>
      </c>
      <c r="T976" s="304">
        <f t="shared" ca="1" si="436"/>
        <v>73.37879999999997</v>
      </c>
      <c r="U976" s="311">
        <f t="shared" ca="1" si="437"/>
        <v>0</v>
      </c>
      <c r="V976" s="306">
        <f t="shared" ca="1" si="438"/>
        <v>1.2266908125662948</v>
      </c>
      <c r="W976" s="304">
        <f t="shared" ca="1" si="439"/>
        <v>58.032356432512884</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2.0098122414864301</v>
      </c>
      <c r="AH976" s="304">
        <f t="shared" ca="1" si="463"/>
        <v>-7.7583014499981493</v>
      </c>
    </row>
    <row r="977" spans="1:34" x14ac:dyDescent="0.2">
      <c r="A977" s="347">
        <f t="shared" ca="1" si="441"/>
        <v>1E-4</v>
      </c>
      <c r="B977" s="304">
        <f t="shared" ca="1" si="442"/>
        <v>34.744600000001704</v>
      </c>
      <c r="D977" s="306">
        <f t="shared" ca="1" si="443"/>
        <v>-0.71617242153585414</v>
      </c>
      <c r="E977" s="307">
        <f t="shared" ca="1" si="444"/>
        <v>-2.0847892526373197</v>
      </c>
      <c r="F977" s="304">
        <f t="shared" ca="1" si="445"/>
        <v>2.2043704691545392</v>
      </c>
      <c r="G977" s="306">
        <f t="shared" ca="1" si="446"/>
        <v>11.272382001909063</v>
      </c>
      <c r="H977" s="307">
        <f t="shared" ca="1" si="447"/>
        <v>-121.5939437711389</v>
      </c>
      <c r="I977" s="304">
        <f t="shared" ca="1" si="448"/>
        <v>122.11532974125669</v>
      </c>
      <c r="J977" s="306">
        <f t="shared" ca="1" si="449"/>
        <v>786.02923903053897</v>
      </c>
      <c r="K977" s="307">
        <f t="shared" ca="1" si="450"/>
        <v>-13.805191993350908</v>
      </c>
      <c r="L977" s="304">
        <f t="shared" ca="1" si="435"/>
        <v>786.15046138566981</v>
      </c>
      <c r="M977" s="306">
        <f t="shared" ca="1" si="451"/>
        <v>-1.4783554153912086</v>
      </c>
      <c r="N977" s="304">
        <f t="shared" ca="1" si="452"/>
        <v>-84.703525922225921</v>
      </c>
      <c r="P977" s="310">
        <f t="shared" ca="1" si="453"/>
        <v>23</v>
      </c>
      <c r="Q977" s="304">
        <f t="shared" ca="1" si="454"/>
        <v>0</v>
      </c>
      <c r="R977" s="306">
        <f t="shared" ca="1" si="455"/>
        <v>0</v>
      </c>
      <c r="S977" s="307">
        <f t="shared" ca="1" si="456"/>
        <v>7.4799999999999969</v>
      </c>
      <c r="T977" s="304">
        <f t="shared" ca="1" si="436"/>
        <v>73.37879999999997</v>
      </c>
      <c r="U977" s="311">
        <f t="shared" ca="1" si="437"/>
        <v>0</v>
      </c>
      <c r="V977" s="306">
        <f t="shared" ca="1" si="438"/>
        <v>1.2266923041483693</v>
      </c>
      <c r="W977" s="304">
        <f t="shared" ca="1" si="439"/>
        <v>58.032618016765298</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2.0097779415653845</v>
      </c>
      <c r="AH977" s="304">
        <f t="shared" ca="1" si="463"/>
        <v>-7.758336421458945</v>
      </c>
    </row>
    <row r="978" spans="1:34" x14ac:dyDescent="0.2">
      <c r="A978" s="347">
        <f t="shared" ca="1" si="441"/>
        <v>1E-4</v>
      </c>
      <c r="B978" s="304">
        <f t="shared" ca="1" si="442"/>
        <v>34.744700000001707</v>
      </c>
      <c r="D978" s="306">
        <f t="shared" ca="1" si="443"/>
        <v>-0.71616992097184939</v>
      </c>
      <c r="E978" s="307">
        <f t="shared" ca="1" si="444"/>
        <v>-2.084753899709562</v>
      </c>
      <c r="F978" s="304">
        <f t="shared" ca="1" si="445"/>
        <v>2.204336221645657</v>
      </c>
      <c r="G978" s="306">
        <f t="shared" ca="1" si="446"/>
        <v>11.272310384916967</v>
      </c>
      <c r="H978" s="307">
        <f t="shared" ca="1" si="447"/>
        <v>-121.59415224652886</v>
      </c>
      <c r="I978" s="304">
        <f t="shared" ca="1" si="448"/>
        <v>122.11553071565446</v>
      </c>
      <c r="J978" s="306">
        <f t="shared" ca="1" si="449"/>
        <v>786.02923903053897</v>
      </c>
      <c r="K978" s="307">
        <f t="shared" ca="1" si="450"/>
        <v>-13.817351398151791</v>
      </c>
      <c r="L978" s="304">
        <f t="shared" ca="1" si="435"/>
        <v>786.15067500485441</v>
      </c>
      <c r="M978" s="306">
        <f t="shared" ca="1" si="451"/>
        <v>-1.4783561569466352</v>
      </c>
      <c r="N978" s="304">
        <f t="shared" ca="1" si="452"/>
        <v>-84.703568410222132</v>
      </c>
      <c r="P978" s="310">
        <f t="shared" ca="1" si="453"/>
        <v>23</v>
      </c>
      <c r="Q978" s="304">
        <f t="shared" ca="1" si="454"/>
        <v>0</v>
      </c>
      <c r="R978" s="306">
        <f t="shared" ca="1" si="455"/>
        <v>0</v>
      </c>
      <c r="S978" s="307">
        <f t="shared" ca="1" si="456"/>
        <v>7.4799999999999969</v>
      </c>
      <c r="T978" s="304">
        <f t="shared" ca="1" si="436"/>
        <v>73.37879999999997</v>
      </c>
      <c r="U978" s="311">
        <f t="shared" ca="1" si="437"/>
        <v>0</v>
      </c>
      <c r="V978" s="306">
        <f t="shared" ca="1" si="438"/>
        <v>1.226693795734817</v>
      </c>
      <c r="W978" s="304">
        <f t="shared" ca="1" si="439"/>
        <v>58.032879598743506</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2.009743641936546</v>
      </c>
      <c r="AH978" s="304">
        <f t="shared" ca="1" si="463"/>
        <v>-7.7583713926156852</v>
      </c>
    </row>
    <row r="979" spans="1:34" x14ac:dyDescent="0.2">
      <c r="A979" s="347">
        <f t="shared" ca="1" si="441"/>
        <v>1E-4</v>
      </c>
      <c r="B979" s="304">
        <f t="shared" ca="1" si="442"/>
        <v>34.74480000000171</v>
      </c>
      <c r="D979" s="306">
        <f t="shared" ca="1" si="443"/>
        <v>-0.71616742038299519</v>
      </c>
      <c r="E979" s="307">
        <f t="shared" ca="1" si="444"/>
        <v>-2.0847185470891283</v>
      </c>
      <c r="F979" s="304">
        <f t="shared" ca="1" si="445"/>
        <v>2.2043019744570933</v>
      </c>
      <c r="G979" s="306">
        <f t="shared" ca="1" si="446"/>
        <v>11.272238768174928</v>
      </c>
      <c r="H979" s="307">
        <f t="shared" ca="1" si="447"/>
        <v>-121.59436071838357</v>
      </c>
      <c r="I979" s="304">
        <f t="shared" ca="1" si="448"/>
        <v>122.1157316866223</v>
      </c>
      <c r="J979" s="306">
        <f t="shared" ca="1" si="449"/>
        <v>786.02923903053897</v>
      </c>
      <c r="K979" s="307">
        <f t="shared" ca="1" si="450"/>
        <v>-13.829510823800037</v>
      </c>
      <c r="L979" s="304">
        <f t="shared" ca="1" si="435"/>
        <v>786.15088881241741</v>
      </c>
      <c r="M979" s="306">
        <f t="shared" ca="1" si="451"/>
        <v>-1.47835689849491</v>
      </c>
      <c r="N979" s="304">
        <f t="shared" ca="1" si="452"/>
        <v>-84.703610897808588</v>
      </c>
      <c r="P979" s="310">
        <f t="shared" ca="1" si="453"/>
        <v>23</v>
      </c>
      <c r="Q979" s="304">
        <f t="shared" ca="1" si="454"/>
        <v>0</v>
      </c>
      <c r="R979" s="306">
        <f t="shared" ca="1" si="455"/>
        <v>0</v>
      </c>
      <c r="S979" s="307">
        <f t="shared" ca="1" si="456"/>
        <v>7.4799999999999969</v>
      </c>
      <c r="T979" s="304">
        <f t="shared" ca="1" si="436"/>
        <v>73.37879999999997</v>
      </c>
      <c r="U979" s="311">
        <f t="shared" ca="1" si="437"/>
        <v>0</v>
      </c>
      <c r="V979" s="306">
        <f t="shared" ca="1" si="438"/>
        <v>1.2266952873256367</v>
      </c>
      <c r="W979" s="304">
        <f t="shared" ca="1" si="439"/>
        <v>58.033141178447423</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2.0097093425998969</v>
      </c>
      <c r="AH979" s="304">
        <f t="shared" ca="1" si="463"/>
        <v>-7.758406363468386</v>
      </c>
    </row>
    <row r="980" spans="1:34" x14ac:dyDescent="0.2">
      <c r="A980" s="347">
        <f t="shared" ca="1" si="441"/>
        <v>1E-4</v>
      </c>
      <c r="B980" s="304">
        <f t="shared" ca="1" si="442"/>
        <v>34.744900000001714</v>
      </c>
      <c r="D980" s="306">
        <f t="shared" ca="1" si="443"/>
        <v>-0.7161649197692872</v>
      </c>
      <c r="E980" s="307">
        <f t="shared" ca="1" si="444"/>
        <v>-2.0846831947760283</v>
      </c>
      <c r="F980" s="304">
        <f t="shared" ca="1" si="445"/>
        <v>2.2042677275888556</v>
      </c>
      <c r="G980" s="306">
        <f t="shared" ca="1" si="446"/>
        <v>11.27216715168295</v>
      </c>
      <c r="H980" s="307">
        <f t="shared" ca="1" si="447"/>
        <v>-121.59456918670304</v>
      </c>
      <c r="I980" s="304">
        <f t="shared" ca="1" si="448"/>
        <v>122.11593265416022</v>
      </c>
      <c r="J980" s="306">
        <f t="shared" ca="1" si="449"/>
        <v>786.02923903053897</v>
      </c>
      <c r="K980" s="307">
        <f t="shared" ca="1" si="450"/>
        <v>-13.841670270295291</v>
      </c>
      <c r="L980" s="304">
        <f t="shared" ca="1" si="435"/>
        <v>786.1511028083595</v>
      </c>
      <c r="M980" s="306">
        <f t="shared" ca="1" si="451"/>
        <v>-1.4783576400360325</v>
      </c>
      <c r="N980" s="304">
        <f t="shared" ca="1" si="452"/>
        <v>-84.703653384985245</v>
      </c>
      <c r="P980" s="310">
        <f t="shared" ca="1" si="453"/>
        <v>23</v>
      </c>
      <c r="Q980" s="304">
        <f t="shared" ca="1" si="454"/>
        <v>0</v>
      </c>
      <c r="R980" s="306">
        <f t="shared" ca="1" si="455"/>
        <v>0</v>
      </c>
      <c r="S980" s="307">
        <f t="shared" ca="1" si="456"/>
        <v>7.4799999999999969</v>
      </c>
      <c r="T980" s="304">
        <f t="shared" ca="1" si="436"/>
        <v>73.37879999999997</v>
      </c>
      <c r="U980" s="311">
        <f t="shared" ca="1" si="437"/>
        <v>0</v>
      </c>
      <c r="V980" s="306">
        <f t="shared" ca="1" si="438"/>
        <v>1.2266967789208285</v>
      </c>
      <c r="W980" s="304">
        <f t="shared" ca="1" si="439"/>
        <v>58.033402755877063</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2.0096750435554496</v>
      </c>
      <c r="AH980" s="304">
        <f t="shared" ca="1" si="463"/>
        <v>-7.7584413340170384</v>
      </c>
    </row>
    <row r="981" spans="1:34" x14ac:dyDescent="0.2">
      <c r="A981" s="347">
        <f t="shared" ca="1" si="441"/>
        <v>1E-4</v>
      </c>
      <c r="B981" s="304">
        <f t="shared" ca="1" si="442"/>
        <v>34.745000000001717</v>
      </c>
      <c r="D981" s="306">
        <f t="shared" ca="1" si="443"/>
        <v>-0.71616241913072998</v>
      </c>
      <c r="E981" s="307">
        <f t="shared" ca="1" si="444"/>
        <v>-2.0846478427702593</v>
      </c>
      <c r="F981" s="304">
        <f t="shared" ca="1" si="445"/>
        <v>2.2042334810409434</v>
      </c>
      <c r="G981" s="306">
        <f t="shared" ca="1" si="446"/>
        <v>11.272095535441037</v>
      </c>
      <c r="H981" s="307">
        <f t="shared" ca="1" si="447"/>
        <v>-121.59477765148732</v>
      </c>
      <c r="I981" s="304">
        <f t="shared" ca="1" si="448"/>
        <v>122.11613361826828</v>
      </c>
      <c r="J981" s="306">
        <f t="shared" ca="1" si="449"/>
        <v>786.02923903053897</v>
      </c>
      <c r="K981" s="307">
        <f t="shared" ca="1" si="450"/>
        <v>-13.8538297376372</v>
      </c>
      <c r="L981" s="304">
        <f t="shared" ca="1" si="435"/>
        <v>786.15131699268147</v>
      </c>
      <c r="M981" s="306">
        <f t="shared" ca="1" si="451"/>
        <v>-1.4783583815700032</v>
      </c>
      <c r="N981" s="304">
        <f t="shared" ca="1" si="452"/>
        <v>-84.703695871752132</v>
      </c>
      <c r="P981" s="310">
        <f t="shared" ca="1" si="453"/>
        <v>23</v>
      </c>
      <c r="Q981" s="304">
        <f t="shared" ca="1" si="454"/>
        <v>0</v>
      </c>
      <c r="R981" s="306">
        <f t="shared" ca="1" si="455"/>
        <v>0</v>
      </c>
      <c r="S981" s="307">
        <f t="shared" ca="1" si="456"/>
        <v>7.4799999999999969</v>
      </c>
      <c r="T981" s="304">
        <f t="shared" ca="1" si="436"/>
        <v>73.37879999999997</v>
      </c>
      <c r="U981" s="311">
        <f t="shared" ca="1" si="437"/>
        <v>0</v>
      </c>
      <c r="V981" s="306">
        <f t="shared" ca="1" si="438"/>
        <v>1.2266982705203924</v>
      </c>
      <c r="W981" s="304">
        <f t="shared" ca="1" si="439"/>
        <v>58.033664331032426</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2.0096407448032041</v>
      </c>
      <c r="AH981" s="304">
        <f t="shared" ca="1" si="463"/>
        <v>-7.7584763042616425</v>
      </c>
    </row>
    <row r="982" spans="1:34" x14ac:dyDescent="0.2">
      <c r="A982" s="347">
        <f t="shared" ca="1" si="441"/>
        <v>1E-4</v>
      </c>
      <c r="B982" s="304">
        <f t="shared" ca="1" si="442"/>
        <v>34.74510000000172</v>
      </c>
      <c r="D982" s="306">
        <f t="shared" ca="1" si="443"/>
        <v>-0.71615991846732208</v>
      </c>
      <c r="E982" s="307">
        <f t="shared" ca="1" si="444"/>
        <v>-2.0846124910718231</v>
      </c>
      <c r="F982" s="304">
        <f t="shared" ca="1" si="445"/>
        <v>2.2041992348133581</v>
      </c>
      <c r="G982" s="306">
        <f t="shared" ca="1" si="446"/>
        <v>11.272023919449191</v>
      </c>
      <c r="H982" s="307">
        <f t="shared" ca="1" si="447"/>
        <v>-121.59498611273642</v>
      </c>
      <c r="I982" s="304">
        <f t="shared" ca="1" si="448"/>
        <v>122.11633457894648</v>
      </c>
      <c r="J982" s="306">
        <f t="shared" ca="1" si="449"/>
        <v>786.02923903053897</v>
      </c>
      <c r="K982" s="307">
        <f t="shared" ca="1" si="450"/>
        <v>-13.865989225825411</v>
      </c>
      <c r="L982" s="304">
        <f t="shared" ca="1" si="435"/>
        <v>786.15153136538436</v>
      </c>
      <c r="M982" s="306">
        <f t="shared" ca="1" si="451"/>
        <v>-1.478359123096822</v>
      </c>
      <c r="N982" s="304">
        <f t="shared" ca="1" si="452"/>
        <v>-84.703738358109248</v>
      </c>
      <c r="P982" s="310">
        <f t="shared" ca="1" si="453"/>
        <v>23</v>
      </c>
      <c r="Q982" s="304">
        <f t="shared" ca="1" si="454"/>
        <v>0</v>
      </c>
      <c r="R982" s="306">
        <f t="shared" ca="1" si="455"/>
        <v>0</v>
      </c>
      <c r="S982" s="307">
        <f t="shared" ca="1" si="456"/>
        <v>7.4799999999999969</v>
      </c>
      <c r="T982" s="304">
        <f t="shared" ca="1" si="436"/>
        <v>73.37879999999997</v>
      </c>
      <c r="U982" s="311">
        <f t="shared" ca="1" si="437"/>
        <v>0</v>
      </c>
      <c r="V982" s="306">
        <f t="shared" ca="1" si="438"/>
        <v>1.226699762124329</v>
      </c>
      <c r="W982" s="304">
        <f t="shared" ca="1" si="439"/>
        <v>58.033925903913556</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2.009606446343156</v>
      </c>
      <c r="AH982" s="304">
        <f t="shared" ca="1" si="463"/>
        <v>-7.7585112742021991</v>
      </c>
    </row>
    <row r="983" spans="1:34" x14ac:dyDescent="0.2">
      <c r="A983" s="347">
        <f t="shared" ca="1" si="441"/>
        <v>1E-4</v>
      </c>
      <c r="B983" s="304">
        <f t="shared" ca="1" si="442"/>
        <v>34.745200000001724</v>
      </c>
      <c r="D983" s="306">
        <f t="shared" ca="1" si="443"/>
        <v>-0.71615741777906494</v>
      </c>
      <c r="E983" s="307">
        <f t="shared" ca="1" si="444"/>
        <v>-2.0845771396807136</v>
      </c>
      <c r="F983" s="304">
        <f t="shared" ca="1" si="445"/>
        <v>2.2041649889060944</v>
      </c>
      <c r="G983" s="306">
        <f t="shared" ca="1" si="446"/>
        <v>11.271952303707414</v>
      </c>
      <c r="H983" s="307">
        <f t="shared" ca="1" si="447"/>
        <v>-121.59519457045039</v>
      </c>
      <c r="I983" s="304">
        <f t="shared" ca="1" si="448"/>
        <v>122.11653553619486</v>
      </c>
      <c r="J983" s="306">
        <f t="shared" ca="1" si="449"/>
        <v>786.02923903053897</v>
      </c>
      <c r="K983" s="307">
        <f t="shared" ca="1" si="450"/>
        <v>-13.87814873485957</v>
      </c>
      <c r="L983" s="304">
        <f t="shared" ca="1" si="435"/>
        <v>786.15174592646872</v>
      </c>
      <c r="M983" s="306">
        <f t="shared" ca="1" si="451"/>
        <v>-1.478359864616489</v>
      </c>
      <c r="N983" s="304">
        <f t="shared" ca="1" si="452"/>
        <v>-84.703780844056595</v>
      </c>
      <c r="P983" s="310">
        <f t="shared" ca="1" si="453"/>
        <v>23</v>
      </c>
      <c r="Q983" s="304">
        <f t="shared" ca="1" si="454"/>
        <v>0</v>
      </c>
      <c r="R983" s="306">
        <f t="shared" ca="1" si="455"/>
        <v>0</v>
      </c>
      <c r="S983" s="307">
        <f t="shared" ca="1" si="456"/>
        <v>7.4799999999999969</v>
      </c>
      <c r="T983" s="304">
        <f t="shared" ca="1" si="436"/>
        <v>73.37879999999997</v>
      </c>
      <c r="U983" s="311">
        <f t="shared" ca="1" si="437"/>
        <v>0</v>
      </c>
      <c r="V983" s="306">
        <f t="shared" ca="1" si="438"/>
        <v>1.2267012537326374</v>
      </c>
      <c r="W983" s="304">
        <f t="shared" ca="1" si="439"/>
        <v>58.034187474520401</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2.0095721481753035</v>
      </c>
      <c r="AH983" s="304">
        <f t="shared" ca="1" si="463"/>
        <v>-7.7585462438387136</v>
      </c>
    </row>
    <row r="984" spans="1:34" x14ac:dyDescent="0.2">
      <c r="A984" s="347">
        <f t="shared" ca="1" si="441"/>
        <v>1E-4</v>
      </c>
      <c r="B984" s="304">
        <f t="shared" ca="1" si="442"/>
        <v>34.745300000001727</v>
      </c>
      <c r="D984" s="306">
        <f t="shared" ca="1" si="443"/>
        <v>-0.71615491706595968</v>
      </c>
      <c r="E984" s="307">
        <f t="shared" ca="1" si="444"/>
        <v>-2.0845417885969368</v>
      </c>
      <c r="F984" s="304">
        <f t="shared" ca="1" si="445"/>
        <v>2.2041307433191588</v>
      </c>
      <c r="G984" s="306">
        <f t="shared" ca="1" si="446"/>
        <v>11.271880688215708</v>
      </c>
      <c r="H984" s="307">
        <f t="shared" ca="1" si="447"/>
        <v>-121.59540302462925</v>
      </c>
      <c r="I984" s="304">
        <f t="shared" ca="1" si="448"/>
        <v>122.11673649001347</v>
      </c>
      <c r="J984" s="306">
        <f t="shared" ca="1" si="449"/>
        <v>786.02923903053897</v>
      </c>
      <c r="K984" s="307">
        <f t="shared" ca="1" si="450"/>
        <v>-13.890308264739325</v>
      </c>
      <c r="L984" s="304">
        <f t="shared" ca="1" si="435"/>
        <v>786.15196067593558</v>
      </c>
      <c r="M984" s="306">
        <f t="shared" ca="1" si="451"/>
        <v>-1.4783606061290044</v>
      </c>
      <c r="N984" s="304">
        <f t="shared" ca="1" si="452"/>
        <v>-84.703823329594172</v>
      </c>
      <c r="P984" s="310">
        <f t="shared" ca="1" si="453"/>
        <v>23</v>
      </c>
      <c r="Q984" s="304">
        <f t="shared" ca="1" si="454"/>
        <v>0</v>
      </c>
      <c r="R984" s="306">
        <f t="shared" ca="1" si="455"/>
        <v>0</v>
      </c>
      <c r="S984" s="307">
        <f t="shared" ca="1" si="456"/>
        <v>7.4799999999999969</v>
      </c>
      <c r="T984" s="304">
        <f t="shared" ca="1" si="436"/>
        <v>73.37879999999997</v>
      </c>
      <c r="U984" s="311">
        <f t="shared" ca="1" si="437"/>
        <v>0</v>
      </c>
      <c r="V984" s="306">
        <f t="shared" ca="1" si="438"/>
        <v>1.2267027453453176</v>
      </c>
      <c r="W984" s="304">
        <f t="shared" ca="1" si="439"/>
        <v>58.03444904285297</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2.0095378502996528</v>
      </c>
      <c r="AH984" s="304">
        <f t="shared" ca="1" si="463"/>
        <v>-7.7585812131711798</v>
      </c>
    </row>
    <row r="985" spans="1:34" x14ac:dyDescent="0.2">
      <c r="A985" s="347">
        <f t="shared" ca="1" si="441"/>
        <v>1E-4</v>
      </c>
      <c r="B985" s="304">
        <f t="shared" ca="1" si="442"/>
        <v>34.74540000000173</v>
      </c>
      <c r="D985" s="306">
        <f t="shared" ca="1" si="443"/>
        <v>-0.71615241632800608</v>
      </c>
      <c r="E985" s="307">
        <f t="shared" ca="1" si="444"/>
        <v>-2.0845064378204921</v>
      </c>
      <c r="F985" s="304">
        <f t="shared" ca="1" si="445"/>
        <v>2.204096498052551</v>
      </c>
      <c r="G985" s="306">
        <f t="shared" ca="1" si="446"/>
        <v>11.271809072974076</v>
      </c>
      <c r="H985" s="307">
        <f t="shared" ca="1" si="447"/>
        <v>-121.59561147527303</v>
      </c>
      <c r="I985" s="304">
        <f t="shared" ca="1" si="448"/>
        <v>122.11693744040231</v>
      </c>
      <c r="J985" s="306">
        <f t="shared" ca="1" si="449"/>
        <v>786.02923903053897</v>
      </c>
      <c r="K985" s="307">
        <f t="shared" ca="1" si="450"/>
        <v>-13.90246781546432</v>
      </c>
      <c r="L985" s="304">
        <f t="shared" ca="1" si="435"/>
        <v>786.15217561378552</v>
      </c>
      <c r="M985" s="306">
        <f t="shared" ca="1" si="451"/>
        <v>-1.4783613476343682</v>
      </c>
      <c r="N985" s="304">
        <f t="shared" ca="1" si="452"/>
        <v>-84.703865814722008</v>
      </c>
      <c r="P985" s="310">
        <f t="shared" ca="1" si="453"/>
        <v>23</v>
      </c>
      <c r="Q985" s="304">
        <f t="shared" ca="1" si="454"/>
        <v>0</v>
      </c>
      <c r="R985" s="306">
        <f t="shared" ca="1" si="455"/>
        <v>0</v>
      </c>
      <c r="S985" s="307">
        <f t="shared" ca="1" si="456"/>
        <v>7.4799999999999969</v>
      </c>
      <c r="T985" s="304">
        <f t="shared" ca="1" si="436"/>
        <v>73.37879999999997</v>
      </c>
      <c r="U985" s="311">
        <f t="shared" ca="1" si="437"/>
        <v>0</v>
      </c>
      <c r="V985" s="306">
        <f t="shared" ca="1" si="438"/>
        <v>1.2267042369623702</v>
      </c>
      <c r="W985" s="304">
        <f t="shared" ca="1" si="439"/>
        <v>58.034710608911297</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2.0095035527162013</v>
      </c>
      <c r="AH985" s="304">
        <f t="shared" ca="1" si="463"/>
        <v>-7.7586161821995985</v>
      </c>
    </row>
    <row r="986" spans="1:34" x14ac:dyDescent="0.2">
      <c r="A986" s="347">
        <f t="shared" ca="1" si="441"/>
        <v>1E-4</v>
      </c>
      <c r="B986" s="304">
        <f t="shared" ca="1" si="442"/>
        <v>34.745500000001734</v>
      </c>
      <c r="D986" s="306">
        <f t="shared" ca="1" si="443"/>
        <v>-0.71614991556520591</v>
      </c>
      <c r="E986" s="307">
        <f t="shared" ca="1" si="444"/>
        <v>-2.0844710873513757</v>
      </c>
      <c r="F986" s="304">
        <f t="shared" ca="1" si="445"/>
        <v>2.2040622531062679</v>
      </c>
      <c r="G986" s="306">
        <f t="shared" ca="1" si="446"/>
        <v>11.271737457982519</v>
      </c>
      <c r="H986" s="307">
        <f t="shared" ca="1" si="447"/>
        <v>-121.59581992238176</v>
      </c>
      <c r="I986" s="304">
        <f t="shared" ca="1" si="448"/>
        <v>122.11713838736142</v>
      </c>
      <c r="J986" s="306">
        <f t="shared" ca="1" si="449"/>
        <v>786.02923903053897</v>
      </c>
      <c r="K986" s="307">
        <f t="shared" ca="1" si="450"/>
        <v>-13.914627387034203</v>
      </c>
      <c r="L986" s="304">
        <f t="shared" ca="1" si="435"/>
        <v>786.15239074001943</v>
      </c>
      <c r="M986" s="306">
        <f t="shared" ca="1" si="451"/>
        <v>-1.4783620891325806</v>
      </c>
      <c r="N986" s="304">
        <f t="shared" ca="1" si="452"/>
        <v>-84.703908299440101</v>
      </c>
      <c r="P986" s="310">
        <f t="shared" ca="1" si="453"/>
        <v>23</v>
      </c>
      <c r="Q986" s="304">
        <f t="shared" ca="1" si="454"/>
        <v>0</v>
      </c>
      <c r="R986" s="306">
        <f t="shared" ca="1" si="455"/>
        <v>0</v>
      </c>
      <c r="S986" s="307">
        <f t="shared" ca="1" si="456"/>
        <v>7.4799999999999969</v>
      </c>
      <c r="T986" s="304">
        <f t="shared" ca="1" si="436"/>
        <v>73.37879999999997</v>
      </c>
      <c r="U986" s="311">
        <f t="shared" ca="1" si="437"/>
        <v>0</v>
      </c>
      <c r="V986" s="306">
        <f t="shared" ca="1" si="438"/>
        <v>1.2267057285837955</v>
      </c>
      <c r="W986" s="304">
        <f t="shared" ca="1" si="439"/>
        <v>58.034972172695397</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2.0094692554249489</v>
      </c>
      <c r="AH986" s="304">
        <f t="shared" ca="1" si="463"/>
        <v>-7.7586511509239733</v>
      </c>
    </row>
    <row r="987" spans="1:34" x14ac:dyDescent="0.2">
      <c r="A987" s="347">
        <f t="shared" ca="1" si="441"/>
        <v>1E-4</v>
      </c>
      <c r="B987" s="304">
        <f t="shared" ca="1" si="442"/>
        <v>34.745600000001737</v>
      </c>
      <c r="D987" s="306">
        <f t="shared" ca="1" si="443"/>
        <v>-0.71614741477755917</v>
      </c>
      <c r="E987" s="307">
        <f t="shared" ca="1" si="444"/>
        <v>-2.0844357371895841</v>
      </c>
      <c r="F987" s="304">
        <f t="shared" ca="1" si="445"/>
        <v>2.2040280084803063</v>
      </c>
      <c r="G987" s="306">
        <f t="shared" ca="1" si="446"/>
        <v>11.271665843241042</v>
      </c>
      <c r="H987" s="307">
        <f t="shared" ca="1" si="447"/>
        <v>-121.59602836595549</v>
      </c>
      <c r="I987" s="304">
        <f t="shared" ca="1" si="448"/>
        <v>122.11733933089084</v>
      </c>
      <c r="J987" s="306">
        <f t="shared" ca="1" si="449"/>
        <v>786.02923903053897</v>
      </c>
      <c r="K987" s="307">
        <f t="shared" ca="1" si="450"/>
        <v>-13.92678697944862</v>
      </c>
      <c r="L987" s="304">
        <f t="shared" ca="1" si="435"/>
        <v>786.15260605463823</v>
      </c>
      <c r="M987" s="306">
        <f t="shared" ca="1" si="451"/>
        <v>-1.4783628306236416</v>
      </c>
      <c r="N987" s="304">
        <f t="shared" ca="1" si="452"/>
        <v>-84.703950783748439</v>
      </c>
      <c r="P987" s="310">
        <f t="shared" ca="1" si="453"/>
        <v>23</v>
      </c>
      <c r="Q987" s="304">
        <f t="shared" ca="1" si="454"/>
        <v>0</v>
      </c>
      <c r="R987" s="306">
        <f t="shared" ca="1" si="455"/>
        <v>0</v>
      </c>
      <c r="S987" s="307">
        <f t="shared" ca="1" si="456"/>
        <v>7.4799999999999969</v>
      </c>
      <c r="T987" s="304">
        <f t="shared" ca="1" si="436"/>
        <v>73.37879999999997</v>
      </c>
      <c r="U987" s="311">
        <f t="shared" ca="1" si="437"/>
        <v>0</v>
      </c>
      <c r="V987" s="306">
        <f t="shared" ca="1" si="438"/>
        <v>1.2267072202095919</v>
      </c>
      <c r="W987" s="304">
        <f t="shared" ca="1" si="439"/>
        <v>58.0352337342052</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2.0094349584258886</v>
      </c>
      <c r="AH987" s="304">
        <f t="shared" ca="1" si="463"/>
        <v>-7.7586861193443077</v>
      </c>
    </row>
    <row r="988" spans="1:34" x14ac:dyDescent="0.2">
      <c r="A988" s="347">
        <f t="shared" ca="1" si="441"/>
        <v>1E-4</v>
      </c>
      <c r="B988" s="304">
        <f t="shared" ca="1" si="442"/>
        <v>34.74570000000174</v>
      </c>
      <c r="D988" s="306">
        <f t="shared" ca="1" si="443"/>
        <v>-0.71614491396506619</v>
      </c>
      <c r="E988" s="307">
        <f t="shared" ca="1" si="444"/>
        <v>-2.084400387335128</v>
      </c>
      <c r="F988" s="304">
        <f t="shared" ca="1" si="445"/>
        <v>2.2039937641746774</v>
      </c>
      <c r="G988" s="306">
        <f t="shared" ca="1" si="446"/>
        <v>11.271594228749645</v>
      </c>
      <c r="H988" s="307">
        <f t="shared" ca="1" si="447"/>
        <v>-121.59623680599422</v>
      </c>
      <c r="I988" s="304">
        <f t="shared" ca="1" si="448"/>
        <v>122.11754027099059</v>
      </c>
      <c r="J988" s="306">
        <f t="shared" ca="1" si="449"/>
        <v>786.02923903053897</v>
      </c>
      <c r="K988" s="307">
        <f t="shared" ca="1" si="450"/>
        <v>-13.938946592707218</v>
      </c>
      <c r="L988" s="304">
        <f t="shared" ca="1" si="435"/>
        <v>786.15282155764248</v>
      </c>
      <c r="M988" s="306">
        <f t="shared" ca="1" si="451"/>
        <v>-1.4783635721075514</v>
      </c>
      <c r="N988" s="304">
        <f t="shared" ca="1" si="452"/>
        <v>-84.70399326764705</v>
      </c>
      <c r="P988" s="310">
        <f t="shared" ca="1" si="453"/>
        <v>23</v>
      </c>
      <c r="Q988" s="304">
        <f t="shared" ca="1" si="454"/>
        <v>0</v>
      </c>
      <c r="R988" s="306">
        <f t="shared" ca="1" si="455"/>
        <v>0</v>
      </c>
      <c r="S988" s="307">
        <f t="shared" ca="1" si="456"/>
        <v>7.4799999999999969</v>
      </c>
      <c r="T988" s="304">
        <f t="shared" ca="1" si="436"/>
        <v>73.37879999999997</v>
      </c>
      <c r="U988" s="311">
        <f t="shared" ca="1" si="437"/>
        <v>0</v>
      </c>
      <c r="V988" s="306">
        <f t="shared" ca="1" si="438"/>
        <v>1.2267087118397606</v>
      </c>
      <c r="W988" s="304">
        <f t="shared" ca="1" si="439"/>
        <v>58.035495293440754</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2.0094006617190328</v>
      </c>
      <c r="AH988" s="304">
        <f t="shared" ca="1" si="463"/>
        <v>-7.7587210874605912</v>
      </c>
    </row>
    <row r="989" spans="1:34" x14ac:dyDescent="0.2">
      <c r="A989" s="347">
        <f t="shared" ca="1" si="441"/>
        <v>1E-4</v>
      </c>
      <c r="B989" s="304">
        <f t="shared" ca="1" si="442"/>
        <v>34.745800000001744</v>
      </c>
      <c r="D989" s="306">
        <f t="shared" ca="1" si="443"/>
        <v>-0.71614241312772764</v>
      </c>
      <c r="E989" s="307">
        <f t="shared" ca="1" si="444"/>
        <v>-2.0843650377879994</v>
      </c>
      <c r="F989" s="304">
        <f t="shared" ca="1" si="445"/>
        <v>2.2039595201893736</v>
      </c>
      <c r="G989" s="306">
        <f t="shared" ca="1" si="446"/>
        <v>11.271522614508333</v>
      </c>
      <c r="H989" s="307">
        <f t="shared" ca="1" si="447"/>
        <v>-121.59644524249801</v>
      </c>
      <c r="I989" s="304">
        <f t="shared" ca="1" si="448"/>
        <v>122.11774120766069</v>
      </c>
      <c r="J989" s="306">
        <f t="shared" ca="1" si="449"/>
        <v>786.02923903053897</v>
      </c>
      <c r="K989" s="307">
        <f t="shared" ca="1" si="450"/>
        <v>-13.951106226809642</v>
      </c>
      <c r="L989" s="304">
        <f t="shared" ca="1" si="435"/>
        <v>786.15303724903333</v>
      </c>
      <c r="M989" s="306">
        <f t="shared" ca="1" si="451"/>
        <v>-1.4783643135843101</v>
      </c>
      <c r="N989" s="304">
        <f t="shared" ca="1" si="452"/>
        <v>-84.704035751135919</v>
      </c>
      <c r="P989" s="310">
        <f t="shared" ca="1" si="453"/>
        <v>23</v>
      </c>
      <c r="Q989" s="304">
        <f t="shared" ca="1" si="454"/>
        <v>0</v>
      </c>
      <c r="R989" s="306">
        <f t="shared" ca="1" si="455"/>
        <v>0</v>
      </c>
      <c r="S989" s="307">
        <f t="shared" ca="1" si="456"/>
        <v>7.4799999999999969</v>
      </c>
      <c r="T989" s="304">
        <f t="shared" ca="1" si="436"/>
        <v>73.37879999999997</v>
      </c>
      <c r="U989" s="311">
        <f t="shared" ca="1" si="437"/>
        <v>0</v>
      </c>
      <c r="V989" s="306">
        <f t="shared" ca="1" si="438"/>
        <v>1.2267102034743014</v>
      </c>
      <c r="W989" s="304">
        <f t="shared" ca="1" si="439"/>
        <v>58.035756850402066</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2.009366365304377</v>
      </c>
      <c r="AH989" s="304">
        <f t="shared" ca="1" si="463"/>
        <v>-7.7587560552728316</v>
      </c>
    </row>
    <row r="990" spans="1:34" x14ac:dyDescent="0.2">
      <c r="A990" s="347">
        <f t="shared" ca="1" si="441"/>
        <v>1E-4</v>
      </c>
      <c r="B990" s="304">
        <f t="shared" ca="1" si="442"/>
        <v>34.745900000001747</v>
      </c>
      <c r="D990" s="306">
        <f t="shared" ca="1" si="443"/>
        <v>-0.71613991226554474</v>
      </c>
      <c r="E990" s="307">
        <f t="shared" ca="1" si="444"/>
        <v>-2.0843296885481992</v>
      </c>
      <c r="F990" s="304">
        <f t="shared" ca="1" si="445"/>
        <v>2.2039252765243962</v>
      </c>
      <c r="G990" s="306">
        <f t="shared" ca="1" si="446"/>
        <v>11.271451000517107</v>
      </c>
      <c r="H990" s="307">
        <f t="shared" ca="1" si="447"/>
        <v>-121.59665367546687</v>
      </c>
      <c r="I990" s="304">
        <f t="shared" ca="1" si="448"/>
        <v>122.11794214090118</v>
      </c>
      <c r="J990" s="306">
        <f t="shared" ca="1" si="449"/>
        <v>786.02923903053897</v>
      </c>
      <c r="K990" s="307">
        <f t="shared" ca="1" si="450"/>
        <v>-13.963265881755541</v>
      </c>
      <c r="L990" s="304">
        <f t="shared" ca="1" si="435"/>
        <v>786.15325312881123</v>
      </c>
      <c r="M990" s="306">
        <f t="shared" ca="1" si="451"/>
        <v>-1.4783650550539178</v>
      </c>
      <c r="N990" s="304">
        <f t="shared" ca="1" si="452"/>
        <v>-84.704078234215089</v>
      </c>
      <c r="P990" s="310">
        <f t="shared" ca="1" si="453"/>
        <v>23</v>
      </c>
      <c r="Q990" s="304">
        <f t="shared" ca="1" si="454"/>
        <v>0</v>
      </c>
      <c r="R990" s="306">
        <f t="shared" ca="1" si="455"/>
        <v>0</v>
      </c>
      <c r="S990" s="307">
        <f t="shared" ca="1" si="456"/>
        <v>7.4799999999999969</v>
      </c>
      <c r="T990" s="304">
        <f t="shared" ca="1" si="436"/>
        <v>73.37879999999997</v>
      </c>
      <c r="U990" s="311">
        <f t="shared" ca="1" si="437"/>
        <v>0</v>
      </c>
      <c r="V990" s="306">
        <f t="shared" ca="1" si="438"/>
        <v>1.226711695113214</v>
      </c>
      <c r="W990" s="304">
        <f t="shared" ca="1" si="439"/>
        <v>58.036018405089116</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2.0093320691819185</v>
      </c>
      <c r="AH990" s="304">
        <f t="shared" ca="1" si="463"/>
        <v>-7.7587910227810282</v>
      </c>
    </row>
    <row r="991" spans="1:34" x14ac:dyDescent="0.2">
      <c r="A991" s="347">
        <f t="shared" ca="1" si="441"/>
        <v>1E-4</v>
      </c>
      <c r="B991" s="304">
        <f t="shared" ca="1" si="442"/>
        <v>34.74600000000175</v>
      </c>
      <c r="D991" s="306">
        <f t="shared" ca="1" si="443"/>
        <v>-0.71613741137851705</v>
      </c>
      <c r="E991" s="307">
        <f t="shared" ca="1" si="444"/>
        <v>-2.0842943396157292</v>
      </c>
      <c r="F991" s="304">
        <f t="shared" ca="1" si="445"/>
        <v>2.203891033179747</v>
      </c>
      <c r="G991" s="306">
        <f t="shared" ca="1" si="446"/>
        <v>11.271379386775969</v>
      </c>
      <c r="H991" s="307">
        <f t="shared" ca="1" si="447"/>
        <v>-121.59686210490084</v>
      </c>
      <c r="I991" s="304">
        <f t="shared" ca="1" si="448"/>
        <v>122.11814307071209</v>
      </c>
      <c r="J991" s="306">
        <f t="shared" ca="1" si="449"/>
        <v>786.02923903053897</v>
      </c>
      <c r="K991" s="307">
        <f t="shared" ca="1" si="450"/>
        <v>-13.975425557544559</v>
      </c>
      <c r="L991" s="304">
        <f t="shared" ca="1" si="435"/>
        <v>786.15346919697731</v>
      </c>
      <c r="M991" s="306">
        <f t="shared" ca="1" si="451"/>
        <v>-1.4783657965163743</v>
      </c>
      <c r="N991" s="304">
        <f t="shared" ca="1" si="452"/>
        <v>-84.704120716884518</v>
      </c>
      <c r="P991" s="310">
        <f t="shared" ca="1" si="453"/>
        <v>23</v>
      </c>
      <c r="Q991" s="304">
        <f t="shared" ca="1" si="454"/>
        <v>0</v>
      </c>
      <c r="R991" s="306">
        <f t="shared" ca="1" si="455"/>
        <v>0</v>
      </c>
      <c r="S991" s="307">
        <f t="shared" ca="1" si="456"/>
        <v>7.4799999999999969</v>
      </c>
      <c r="T991" s="304">
        <f t="shared" ca="1" si="436"/>
        <v>73.37879999999997</v>
      </c>
      <c r="U991" s="311">
        <f t="shared" ca="1" si="437"/>
        <v>0</v>
      </c>
      <c r="V991" s="306">
        <f t="shared" ca="1" si="438"/>
        <v>1.2267131867564987</v>
      </c>
      <c r="W991" s="304">
        <f t="shared" ca="1" si="439"/>
        <v>58.036279957501925</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2.009297773351661</v>
      </c>
      <c r="AH991" s="304">
        <f t="shared" ca="1" si="463"/>
        <v>-7.758825989985179</v>
      </c>
    </row>
    <row r="992" spans="1:34" x14ac:dyDescent="0.2">
      <c r="A992" s="347">
        <f t="shared" ca="1" si="441"/>
        <v>1E-4</v>
      </c>
      <c r="B992" s="304">
        <f t="shared" ca="1" si="442"/>
        <v>34.746100000001753</v>
      </c>
      <c r="D992" s="306">
        <f t="shared" ca="1" si="443"/>
        <v>-0.71613491046664801</v>
      </c>
      <c r="E992" s="307">
        <f t="shared" ca="1" si="444"/>
        <v>-2.0842589909905858</v>
      </c>
      <c r="F992" s="304">
        <f t="shared" ca="1" si="445"/>
        <v>2.2038567901554242</v>
      </c>
      <c r="G992" s="306">
        <f t="shared" ca="1" si="446"/>
        <v>11.271307773284923</v>
      </c>
      <c r="H992" s="307">
        <f t="shared" ca="1" si="447"/>
        <v>-121.59707053079994</v>
      </c>
      <c r="I992" s="304">
        <f t="shared" ca="1" si="448"/>
        <v>122.11834399709345</v>
      </c>
      <c r="J992" s="306">
        <f t="shared" ca="1" si="449"/>
        <v>786.02923903053897</v>
      </c>
      <c r="K992" s="307">
        <f t="shared" ca="1" si="450"/>
        <v>-13.987585254176345</v>
      </c>
      <c r="L992" s="304">
        <f t="shared" ca="1" si="435"/>
        <v>786.15368545353215</v>
      </c>
      <c r="M992" s="306">
        <f t="shared" ca="1" si="451"/>
        <v>-1.4783665379716802</v>
      </c>
      <c r="N992" s="304">
        <f t="shared" ca="1" si="452"/>
        <v>-84.704163199144233</v>
      </c>
      <c r="P992" s="310">
        <f t="shared" ca="1" si="453"/>
        <v>23</v>
      </c>
      <c r="Q992" s="304">
        <f t="shared" ca="1" si="454"/>
        <v>0</v>
      </c>
      <c r="R992" s="306">
        <f t="shared" ca="1" si="455"/>
        <v>0</v>
      </c>
      <c r="S992" s="307">
        <f t="shared" ca="1" si="456"/>
        <v>7.4799999999999969</v>
      </c>
      <c r="T992" s="304">
        <f t="shared" ca="1" si="436"/>
        <v>73.37879999999997</v>
      </c>
      <c r="U992" s="311">
        <f t="shared" ca="1" si="437"/>
        <v>0</v>
      </c>
      <c r="V992" s="306">
        <f t="shared" ca="1" si="438"/>
        <v>1.2267146784041549</v>
      </c>
      <c r="W992" s="304">
        <f t="shared" ca="1" si="439"/>
        <v>58.036541507640479</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2.0092634778135992</v>
      </c>
      <c r="AH992" s="304">
        <f t="shared" ca="1" si="463"/>
        <v>-7.7588609568852878</v>
      </c>
    </row>
    <row r="993" spans="1:34" x14ac:dyDescent="0.2">
      <c r="A993" s="347">
        <f t="shared" ca="1" si="441"/>
        <v>1E-4</v>
      </c>
      <c r="B993" s="304">
        <f t="shared" ca="1" si="442"/>
        <v>34.746200000001757</v>
      </c>
      <c r="D993" s="306">
        <f t="shared" ca="1" si="443"/>
        <v>-0.7161324095299354</v>
      </c>
      <c r="E993" s="307">
        <f t="shared" ca="1" si="444"/>
        <v>-2.0842236426727725</v>
      </c>
      <c r="F993" s="304">
        <f t="shared" ca="1" si="445"/>
        <v>2.2038225474514301</v>
      </c>
      <c r="G993" s="306">
        <f t="shared" ca="1" si="446"/>
        <v>11.271236160043969</v>
      </c>
      <c r="H993" s="307">
        <f t="shared" ca="1" si="447"/>
        <v>-121.59727895316421</v>
      </c>
      <c r="I993" s="304">
        <f t="shared" ca="1" si="448"/>
        <v>122.11854492004527</v>
      </c>
      <c r="J993" s="306">
        <f t="shared" ca="1" si="449"/>
        <v>786.02923903053897</v>
      </c>
      <c r="K993" s="307">
        <f t="shared" ca="1" si="450"/>
        <v>-13.999744971650543</v>
      </c>
      <c r="L993" s="304">
        <f t="shared" ca="1" si="435"/>
        <v>786.15390189847653</v>
      </c>
      <c r="M993" s="306">
        <f t="shared" ca="1" si="451"/>
        <v>-1.4783672794198353</v>
      </c>
      <c r="N993" s="304">
        <f t="shared" ca="1" si="452"/>
        <v>-84.704205680994249</v>
      </c>
      <c r="P993" s="310">
        <f t="shared" ca="1" si="453"/>
        <v>23</v>
      </c>
      <c r="Q993" s="304">
        <f t="shared" ca="1" si="454"/>
        <v>0</v>
      </c>
      <c r="R993" s="306">
        <f t="shared" ca="1" si="455"/>
        <v>0</v>
      </c>
      <c r="S993" s="307">
        <f t="shared" ca="1" si="456"/>
        <v>7.4799999999999969</v>
      </c>
      <c r="T993" s="304">
        <f t="shared" ca="1" si="436"/>
        <v>73.37879999999997</v>
      </c>
      <c r="U993" s="311">
        <f t="shared" ca="1" si="437"/>
        <v>0</v>
      </c>
      <c r="V993" s="306">
        <f t="shared" ca="1" si="438"/>
        <v>1.2267161700561831</v>
      </c>
      <c r="W993" s="304">
        <f t="shared" ca="1" si="439"/>
        <v>58.03680305550477</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2.0092291825677382</v>
      </c>
      <c r="AH993" s="304">
        <f t="shared" ca="1" si="463"/>
        <v>-7.7588959234813508</v>
      </c>
    </row>
    <row r="994" spans="1:34" x14ac:dyDescent="0.2">
      <c r="A994" s="347">
        <f t="shared" ca="1" si="441"/>
        <v>1E-4</v>
      </c>
      <c r="B994" s="304">
        <f t="shared" ca="1" si="442"/>
        <v>34.74630000000176</v>
      </c>
      <c r="D994" s="306">
        <f t="shared" ca="1" si="443"/>
        <v>-0.71612990856838055</v>
      </c>
      <c r="E994" s="307">
        <f t="shared" ca="1" si="444"/>
        <v>-2.0841882946622894</v>
      </c>
      <c r="F994" s="304">
        <f t="shared" ca="1" si="445"/>
        <v>2.2037883050677665</v>
      </c>
      <c r="G994" s="306">
        <f t="shared" ca="1" si="446"/>
        <v>11.271164547053113</v>
      </c>
      <c r="H994" s="307">
        <f t="shared" ca="1" si="447"/>
        <v>-121.59748737199368</v>
      </c>
      <c r="I994" s="304">
        <f t="shared" ca="1" si="448"/>
        <v>122.11874583956761</v>
      </c>
      <c r="J994" s="306">
        <f t="shared" ca="1" si="449"/>
        <v>786.02923903053897</v>
      </c>
      <c r="K994" s="307">
        <f t="shared" ca="1" si="450"/>
        <v>-14.011904709966801</v>
      </c>
      <c r="L994" s="304">
        <f t="shared" ca="1" si="435"/>
        <v>786.15411853181138</v>
      </c>
      <c r="M994" s="306">
        <f t="shared" ca="1" si="451"/>
        <v>-1.4783680208608396</v>
      </c>
      <c r="N994" s="304">
        <f t="shared" ca="1" si="452"/>
        <v>-84.704248162434553</v>
      </c>
      <c r="P994" s="310">
        <f t="shared" ca="1" si="453"/>
        <v>23</v>
      </c>
      <c r="Q994" s="304">
        <f t="shared" ca="1" si="454"/>
        <v>0</v>
      </c>
      <c r="R994" s="306">
        <f t="shared" ca="1" si="455"/>
        <v>0</v>
      </c>
      <c r="S994" s="307">
        <f t="shared" ca="1" si="456"/>
        <v>7.4799999999999969</v>
      </c>
      <c r="T994" s="304">
        <f t="shared" ca="1" si="436"/>
        <v>73.37879999999997</v>
      </c>
      <c r="U994" s="311">
        <f t="shared" ca="1" si="437"/>
        <v>0</v>
      </c>
      <c r="V994" s="306">
        <f t="shared" ca="1" si="438"/>
        <v>1.226717661712583</v>
      </c>
      <c r="W994" s="304">
        <f t="shared" ca="1" si="439"/>
        <v>58.037064601094833</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2.0091948876140782</v>
      </c>
      <c r="AH994" s="304">
        <f t="shared" ca="1" si="463"/>
        <v>-7.7589308897733682</v>
      </c>
    </row>
    <row r="995" spans="1:34" x14ac:dyDescent="0.2">
      <c r="A995" s="347">
        <f t="shared" ca="1" si="441"/>
        <v>1E-4</v>
      </c>
      <c r="B995" s="304">
        <f t="shared" ca="1" si="442"/>
        <v>34.746400000001763</v>
      </c>
      <c r="D995" s="306">
        <f t="shared" ca="1" si="443"/>
        <v>-0.71612740758198545</v>
      </c>
      <c r="E995" s="307">
        <f t="shared" ca="1" si="444"/>
        <v>-2.0841529469591311</v>
      </c>
      <c r="F995" s="304">
        <f t="shared" ca="1" si="445"/>
        <v>2.2037540630044283</v>
      </c>
      <c r="G995" s="306">
        <f t="shared" ca="1" si="446"/>
        <v>11.271092934312355</v>
      </c>
      <c r="H995" s="307">
        <f t="shared" ca="1" si="447"/>
        <v>-121.59769578728837</v>
      </c>
      <c r="I995" s="304">
        <f t="shared" ca="1" si="448"/>
        <v>122.11894675566046</v>
      </c>
      <c r="J995" s="306">
        <f t="shared" ca="1" si="449"/>
        <v>786.02923903053897</v>
      </c>
      <c r="K995" s="307">
        <f t="shared" ca="1" si="450"/>
        <v>-14.024064469124765</v>
      </c>
      <c r="L995" s="304">
        <f t="shared" ca="1" si="435"/>
        <v>786.15433535353748</v>
      </c>
      <c r="M995" s="306">
        <f t="shared" ca="1" si="451"/>
        <v>-1.4783687622946935</v>
      </c>
      <c r="N995" s="304">
        <f t="shared" ca="1" si="452"/>
        <v>-84.704290643465171</v>
      </c>
      <c r="P995" s="310">
        <f t="shared" ca="1" si="453"/>
        <v>23</v>
      </c>
      <c r="Q995" s="304">
        <f t="shared" ca="1" si="454"/>
        <v>0</v>
      </c>
      <c r="R995" s="306">
        <f t="shared" ca="1" si="455"/>
        <v>0</v>
      </c>
      <c r="S995" s="307">
        <f t="shared" ca="1" si="456"/>
        <v>7.4799999999999969</v>
      </c>
      <c r="T995" s="304">
        <f t="shared" ca="1" si="436"/>
        <v>73.37879999999997</v>
      </c>
      <c r="U995" s="311">
        <f t="shared" ca="1" si="437"/>
        <v>0</v>
      </c>
      <c r="V995" s="306">
        <f t="shared" ca="1" si="438"/>
        <v>1.226719153373355</v>
      </c>
      <c r="W995" s="304">
        <f t="shared" ca="1" si="439"/>
        <v>58.037326144410635</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2.0091605929526146</v>
      </c>
      <c r="AH995" s="304">
        <f t="shared" ca="1" si="463"/>
        <v>-7.7589658557613443</v>
      </c>
    </row>
    <row r="996" spans="1:34" x14ac:dyDescent="0.2">
      <c r="A996" s="347">
        <f t="shared" ca="1" si="441"/>
        <v>1E-4</v>
      </c>
      <c r="B996" s="304">
        <f t="shared" ca="1" si="442"/>
        <v>34.746500000001767</v>
      </c>
      <c r="D996" s="306">
        <f t="shared" ca="1" si="443"/>
        <v>-0.71612490657074923</v>
      </c>
      <c r="E996" s="307">
        <f t="shared" ca="1" si="444"/>
        <v>-2.0841175995633039</v>
      </c>
      <c r="F996" s="304">
        <f t="shared" ca="1" si="445"/>
        <v>2.2037198212614215</v>
      </c>
      <c r="G996" s="306">
        <f t="shared" ca="1" si="446"/>
        <v>11.271021321821697</v>
      </c>
      <c r="H996" s="307">
        <f t="shared" ca="1" si="447"/>
        <v>-121.59790419904833</v>
      </c>
      <c r="I996" s="304">
        <f t="shared" ca="1" si="448"/>
        <v>122.11914766832388</v>
      </c>
      <c r="J996" s="306">
        <f t="shared" ca="1" si="449"/>
        <v>786.02923903053897</v>
      </c>
      <c r="K996" s="307">
        <f t="shared" ca="1" si="450"/>
        <v>-14.036224249124082</v>
      </c>
      <c r="L996" s="304">
        <f t="shared" ca="1" si="435"/>
        <v>786.15455236365574</v>
      </c>
      <c r="M996" s="306">
        <f t="shared" ca="1" si="451"/>
        <v>-1.4783695037213971</v>
      </c>
      <c r="N996" s="304">
        <f t="shared" ca="1" si="452"/>
        <v>-84.704333124086105</v>
      </c>
      <c r="P996" s="310">
        <f t="shared" ca="1" si="453"/>
        <v>23</v>
      </c>
      <c r="Q996" s="304">
        <f t="shared" ca="1" si="454"/>
        <v>0</v>
      </c>
      <c r="R996" s="306">
        <f t="shared" ca="1" si="455"/>
        <v>0</v>
      </c>
      <c r="S996" s="307">
        <f t="shared" ca="1" si="456"/>
        <v>7.4799999999999969</v>
      </c>
      <c r="T996" s="304">
        <f t="shared" ca="1" si="436"/>
        <v>73.37879999999997</v>
      </c>
      <c r="U996" s="311">
        <f t="shared" ca="1" si="437"/>
        <v>0</v>
      </c>
      <c r="V996" s="306">
        <f t="shared" ca="1" si="438"/>
        <v>1.2267206450384986</v>
      </c>
      <c r="W996" s="304">
        <f t="shared" ca="1" si="439"/>
        <v>58.037587685452195</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2.0091262985833511</v>
      </c>
      <c r="AH996" s="304">
        <f t="shared" ca="1" si="463"/>
        <v>-7.7590008214452757</v>
      </c>
    </row>
    <row r="997" spans="1:34" x14ac:dyDescent="0.2">
      <c r="A997" s="347">
        <f t="shared" ca="1" si="441"/>
        <v>1E-4</v>
      </c>
      <c r="B997" s="304">
        <f t="shared" ca="1" si="442"/>
        <v>34.74660000000177</v>
      </c>
      <c r="D997" s="306">
        <f t="shared" ca="1" si="443"/>
        <v>-0.71612240553467188</v>
      </c>
      <c r="E997" s="307">
        <f t="shared" ca="1" si="444"/>
        <v>-2.0840822524748033</v>
      </c>
      <c r="F997" s="304">
        <f t="shared" ca="1" si="445"/>
        <v>2.2036855798387425</v>
      </c>
      <c r="G997" s="306">
        <f t="shared" ca="1" si="446"/>
        <v>11.270949709581144</v>
      </c>
      <c r="H997" s="307">
        <f t="shared" ca="1" si="447"/>
        <v>-121.59811260727358</v>
      </c>
      <c r="I997" s="304">
        <f t="shared" ca="1" si="448"/>
        <v>122.1193485775579</v>
      </c>
      <c r="J997" s="306">
        <f t="shared" ca="1" si="449"/>
        <v>786.02923903053897</v>
      </c>
      <c r="K997" s="307">
        <f t="shared" ca="1" si="450"/>
        <v>-14.048384049964397</v>
      </c>
      <c r="L997" s="304">
        <f t="shared" ca="1" si="435"/>
        <v>786.15476956216673</v>
      </c>
      <c r="M997" s="306">
        <f t="shared" ca="1" si="451"/>
        <v>-1.4783702451409502</v>
      </c>
      <c r="N997" s="304">
        <f t="shared" ca="1" si="452"/>
        <v>-84.70437560429734</v>
      </c>
      <c r="P997" s="310">
        <f t="shared" ca="1" si="453"/>
        <v>23</v>
      </c>
      <c r="Q997" s="304">
        <f t="shared" ca="1" si="454"/>
        <v>0</v>
      </c>
      <c r="R997" s="306">
        <f t="shared" ca="1" si="455"/>
        <v>0</v>
      </c>
      <c r="S997" s="307">
        <f t="shared" ca="1" si="456"/>
        <v>7.4799999999999969</v>
      </c>
      <c r="T997" s="304">
        <f t="shared" ca="1" si="436"/>
        <v>73.37879999999997</v>
      </c>
      <c r="U997" s="311">
        <f t="shared" ca="1" si="437"/>
        <v>0</v>
      </c>
      <c r="V997" s="306">
        <f t="shared" ca="1" si="438"/>
        <v>1.2267221367080139</v>
      </c>
      <c r="W997" s="304">
        <f t="shared" ca="1" si="439"/>
        <v>58.037849224219528</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2.0090920045062886</v>
      </c>
      <c r="AH997" s="304">
        <f t="shared" ca="1" si="463"/>
        <v>-7.7590357868251632</v>
      </c>
    </row>
    <row r="998" spans="1:34" x14ac:dyDescent="0.2">
      <c r="A998" s="347">
        <f t="shared" ca="1" si="441"/>
        <v>1E-4</v>
      </c>
      <c r="B998" s="304">
        <f t="shared" ca="1" si="442"/>
        <v>34.746700000001773</v>
      </c>
      <c r="D998" s="306">
        <f t="shared" ca="1" si="443"/>
        <v>-0.71611990447375673</v>
      </c>
      <c r="E998" s="307">
        <f t="shared" ca="1" si="444"/>
        <v>-2.0840469056936293</v>
      </c>
      <c r="F998" s="304">
        <f t="shared" ca="1" si="445"/>
        <v>2.2036513387363921</v>
      </c>
      <c r="G998" s="306">
        <f t="shared" ca="1" si="446"/>
        <v>11.270878097590696</v>
      </c>
      <c r="H998" s="307">
        <f t="shared" ca="1" si="447"/>
        <v>-121.59832101196415</v>
      </c>
      <c r="I998" s="304">
        <f t="shared" ca="1" si="448"/>
        <v>122.11954948336253</v>
      </c>
      <c r="J998" s="306">
        <f t="shared" ca="1" si="449"/>
        <v>786.02923903053897</v>
      </c>
      <c r="K998" s="307">
        <f t="shared" ca="1" si="450"/>
        <v>-14.060543871645359</v>
      </c>
      <c r="L998" s="304">
        <f t="shared" ca="1" si="435"/>
        <v>786.15498694907149</v>
      </c>
      <c r="M998" s="306">
        <f t="shared" ca="1" si="451"/>
        <v>-1.478370986553353</v>
      </c>
      <c r="N998" s="304">
        <f t="shared" ca="1" si="452"/>
        <v>-84.704418084098904</v>
      </c>
      <c r="P998" s="310">
        <f t="shared" ca="1" si="453"/>
        <v>23</v>
      </c>
      <c r="Q998" s="304">
        <f t="shared" ca="1" si="454"/>
        <v>0</v>
      </c>
      <c r="R998" s="306">
        <f t="shared" ca="1" si="455"/>
        <v>0</v>
      </c>
      <c r="S998" s="307">
        <f t="shared" ca="1" si="456"/>
        <v>7.4799999999999969</v>
      </c>
      <c r="T998" s="304">
        <f t="shared" ca="1" si="436"/>
        <v>73.37879999999997</v>
      </c>
      <c r="U998" s="311">
        <f t="shared" ca="1" si="437"/>
        <v>0</v>
      </c>
      <c r="V998" s="306">
        <f t="shared" ca="1" si="438"/>
        <v>1.2267236283819007</v>
      </c>
      <c r="W998" s="304">
        <f t="shared" ca="1" si="439"/>
        <v>58.038110760712598</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2.0090577107214243</v>
      </c>
      <c r="AH998" s="304">
        <f t="shared" ca="1" si="463"/>
        <v>-7.7590707519010094</v>
      </c>
    </row>
    <row r="999" spans="1:34" x14ac:dyDescent="0.2">
      <c r="A999" s="347">
        <f t="shared" ca="1" si="441"/>
        <v>1E-4</v>
      </c>
      <c r="B999" s="304">
        <f t="shared" ca="1" si="442"/>
        <v>34.746800000001777</v>
      </c>
      <c r="D999" s="306">
        <f t="shared" ca="1" si="443"/>
        <v>-0.71611740338800323</v>
      </c>
      <c r="E999" s="307">
        <f t="shared" ca="1" si="444"/>
        <v>-2.0840115592197845</v>
      </c>
      <c r="F999" s="304">
        <f t="shared" ca="1" si="445"/>
        <v>2.2036170979543734</v>
      </c>
      <c r="G999" s="306">
        <f t="shared" ca="1" si="446"/>
        <v>11.270806485850358</v>
      </c>
      <c r="H999" s="307">
        <f t="shared" ca="1" si="447"/>
        <v>-121.59852941312006</v>
      </c>
      <c r="I999" s="304">
        <f t="shared" ca="1" si="448"/>
        <v>122.11975038573782</v>
      </c>
      <c r="J999" s="306">
        <f t="shared" ca="1" si="449"/>
        <v>786.02923903053897</v>
      </c>
      <c r="K999" s="307">
        <f t="shared" ca="1" si="450"/>
        <v>-14.072703714166614</v>
      </c>
      <c r="L999" s="304">
        <f t="shared" ca="1" si="435"/>
        <v>786.15520452437056</v>
      </c>
      <c r="M999" s="306">
        <f t="shared" ca="1" si="451"/>
        <v>-1.4783717279586057</v>
      </c>
      <c r="N999" s="304">
        <f t="shared" ca="1" si="452"/>
        <v>-84.704460563490798</v>
      </c>
      <c r="P999" s="310">
        <f t="shared" ca="1" si="453"/>
        <v>23</v>
      </c>
      <c r="Q999" s="304">
        <f t="shared" ca="1" si="454"/>
        <v>0</v>
      </c>
      <c r="R999" s="306">
        <f t="shared" ca="1" si="455"/>
        <v>0</v>
      </c>
      <c r="S999" s="307">
        <f t="shared" ca="1" si="456"/>
        <v>7.4799999999999969</v>
      </c>
      <c r="T999" s="304">
        <f t="shared" ca="1" si="436"/>
        <v>73.37879999999997</v>
      </c>
      <c r="U999" s="311">
        <f t="shared" ca="1" si="437"/>
        <v>0</v>
      </c>
      <c r="V999" s="306">
        <f t="shared" ca="1" si="438"/>
        <v>1.2267251200601594</v>
      </c>
      <c r="W999" s="304">
        <f t="shared" ca="1" si="439"/>
        <v>58.038372294931435</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2.00902341722876</v>
      </c>
      <c r="AH999" s="304">
        <f t="shared" ca="1" si="463"/>
        <v>-7.7591057166728108</v>
      </c>
    </row>
    <row r="1000" spans="1:34" x14ac:dyDescent="0.2">
      <c r="A1000" s="347">
        <f t="shared" ca="1" si="441"/>
        <v>1E-4</v>
      </c>
      <c r="B1000" s="304">
        <f t="shared" ca="1" si="442"/>
        <v>34.74690000000178</v>
      </c>
      <c r="D1000" s="306">
        <f t="shared" ca="1" si="443"/>
        <v>-0.71611490227741115</v>
      </c>
      <c r="E1000" s="307">
        <f t="shared" ca="1" si="444"/>
        <v>-2.0839762130532664</v>
      </c>
      <c r="F1000" s="304">
        <f t="shared" ca="1" si="445"/>
        <v>2.2035828574926835</v>
      </c>
      <c r="G1000" s="306">
        <f t="shared" ca="1" si="446"/>
        <v>11.27073487436013</v>
      </c>
      <c r="H1000" s="307">
        <f t="shared" ca="1" si="447"/>
        <v>-121.59873781074137</v>
      </c>
      <c r="I1000" s="304">
        <f t="shared" ca="1" si="448"/>
        <v>122.11995128468379</v>
      </c>
      <c r="J1000" s="306">
        <f t="shared" ca="1" si="449"/>
        <v>786.02923903053897</v>
      </c>
      <c r="K1000" s="307">
        <f t="shared" ca="1" si="450"/>
        <v>-14.084863577527807</v>
      </c>
      <c r="L1000" s="304">
        <f t="shared" ca="1" si="435"/>
        <v>786.15542228806498</v>
      </c>
      <c r="M1000" s="306">
        <f t="shared" ca="1" si="451"/>
        <v>-1.4783724693567084</v>
      </c>
      <c r="N1000" s="304">
        <f t="shared" ca="1" si="452"/>
        <v>-84.704503042473021</v>
      </c>
      <c r="P1000" s="310">
        <f t="shared" ca="1" si="453"/>
        <v>23</v>
      </c>
      <c r="Q1000" s="304">
        <f t="shared" ca="1" si="454"/>
        <v>0</v>
      </c>
      <c r="R1000" s="306">
        <f t="shared" ca="1" si="455"/>
        <v>0</v>
      </c>
      <c r="S1000" s="307">
        <f t="shared" ca="1" si="456"/>
        <v>7.4799999999999969</v>
      </c>
      <c r="T1000" s="304">
        <f t="shared" ca="1" si="436"/>
        <v>73.37879999999997</v>
      </c>
      <c r="U1000" s="311">
        <f t="shared" ca="1" si="437"/>
        <v>0</v>
      </c>
      <c r="V1000" s="306">
        <f t="shared" ca="1" si="438"/>
        <v>1.22672661174279</v>
      </c>
      <c r="W1000" s="304">
        <f t="shared" ca="1" si="439"/>
        <v>58.038633826876065</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2.0089891240282975</v>
      </c>
      <c r="AH1000" s="304">
        <f t="shared" ca="1" si="463"/>
        <v>-7.7591406811405692</v>
      </c>
    </row>
    <row r="1001" spans="1:34" x14ac:dyDescent="0.2">
      <c r="A1001" s="347">
        <f t="shared" ca="1" si="441"/>
        <v>1E-4</v>
      </c>
      <c r="B1001" s="304">
        <f t="shared" ca="1" si="442"/>
        <v>34.747000000001783</v>
      </c>
      <c r="D1001" s="306">
        <f t="shared" ca="1" si="443"/>
        <v>-0.71611240114198249</v>
      </c>
      <c r="E1001" s="307">
        <f t="shared" ca="1" si="444"/>
        <v>-2.0839408671940713</v>
      </c>
      <c r="F1001" s="304">
        <f t="shared" ca="1" si="445"/>
        <v>2.2035486173513199</v>
      </c>
      <c r="G1001" s="306">
        <f t="shared" ca="1" si="446"/>
        <v>11.270663263120015</v>
      </c>
      <c r="H1001" s="307">
        <f t="shared" ca="1" si="447"/>
        <v>-121.59894620482808</v>
      </c>
      <c r="I1001" s="304">
        <f t="shared" ca="1" si="448"/>
        <v>122.12015218020045</v>
      </c>
      <c r="J1001" s="306">
        <f t="shared" ca="1" si="449"/>
        <v>786.02923903053897</v>
      </c>
      <c r="K1001" s="307">
        <f t="shared" ca="1" si="450"/>
        <v>-14.097023461728586</v>
      </c>
      <c r="L1001" s="304">
        <f t="shared" ca="1" si="435"/>
        <v>786.15564024015544</v>
      </c>
      <c r="M1001" s="306">
        <f t="shared" ca="1" si="451"/>
        <v>-1.4783732107476613</v>
      </c>
      <c r="N1001" s="304">
        <f t="shared" ca="1" si="452"/>
        <v>-84.704545521045588</v>
      </c>
      <c r="P1001" s="310">
        <f t="shared" ca="1" si="453"/>
        <v>23</v>
      </c>
      <c r="Q1001" s="304">
        <f t="shared" ca="1" si="454"/>
        <v>0</v>
      </c>
      <c r="R1001" s="306">
        <f t="shared" ca="1" si="455"/>
        <v>0</v>
      </c>
      <c r="S1001" s="307">
        <f t="shared" ca="1" si="456"/>
        <v>7.4799999999999969</v>
      </c>
      <c r="T1001" s="304">
        <f t="shared" ca="1" si="436"/>
        <v>73.37879999999997</v>
      </c>
      <c r="U1001" s="311">
        <f t="shared" ca="1" si="437"/>
        <v>0</v>
      </c>
      <c r="V1001" s="306">
        <f t="shared" ca="1" si="438"/>
        <v>1.2267281034297914</v>
      </c>
      <c r="W1001" s="304">
        <f t="shared" ca="1" si="439"/>
        <v>58.038895356546391</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2.0089548311200298</v>
      </c>
      <c r="AH1001" s="304">
        <f t="shared" ca="1" si="463"/>
        <v>-7.7591756453042899</v>
      </c>
    </row>
    <row r="1002" spans="1:34" x14ac:dyDescent="0.2">
      <c r="A1002" s="347">
        <f t="shared" ca="1" si="441"/>
        <v>1E-4</v>
      </c>
      <c r="B1002" s="304">
        <f t="shared" ca="1" si="442"/>
        <v>34.747100000001787</v>
      </c>
      <c r="D1002" s="306">
        <f t="shared" ca="1" si="443"/>
        <v>-0.7161098999817157</v>
      </c>
      <c r="E1002" s="307">
        <f t="shared" ca="1" si="444"/>
        <v>-2.0839055216422109</v>
      </c>
      <c r="F1002" s="304">
        <f t="shared" ca="1" si="445"/>
        <v>2.2035143775302939</v>
      </c>
      <c r="G1002" s="306">
        <f t="shared" ca="1" si="446"/>
        <v>11.270591652130017</v>
      </c>
      <c r="H1002" s="307">
        <f t="shared" ca="1" si="447"/>
        <v>-121.59915459538024</v>
      </c>
      <c r="I1002" s="304">
        <f t="shared" ca="1" si="448"/>
        <v>122.12035307228786</v>
      </c>
      <c r="J1002" s="306">
        <f t="shared" ca="1" si="449"/>
        <v>786.02923903053897</v>
      </c>
      <c r="K1002" s="307">
        <f t="shared" ca="1" si="450"/>
        <v>-14.109183366768596</v>
      </c>
      <c r="L1002" s="304">
        <f t="shared" ca="1" si="435"/>
        <v>786.15585838064283</v>
      </c>
      <c r="M1002" s="306">
        <f t="shared" ca="1" si="451"/>
        <v>-1.4783739521314641</v>
      </c>
      <c r="N1002" s="304">
        <f t="shared" ca="1" si="452"/>
        <v>-84.704587999208485</v>
      </c>
      <c r="P1002" s="310">
        <f t="shared" ca="1" si="453"/>
        <v>23</v>
      </c>
      <c r="Q1002" s="304">
        <f t="shared" ca="1" si="454"/>
        <v>0</v>
      </c>
      <c r="R1002" s="306">
        <f t="shared" ca="1" si="455"/>
        <v>0</v>
      </c>
      <c r="S1002" s="307">
        <f t="shared" ca="1" si="456"/>
        <v>7.4799999999999969</v>
      </c>
      <c r="T1002" s="304">
        <f t="shared" ca="1" si="436"/>
        <v>73.37879999999997</v>
      </c>
      <c r="U1002" s="311">
        <f t="shared" ca="1" si="437"/>
        <v>0</v>
      </c>
      <c r="V1002" s="306">
        <f t="shared" ca="1" si="438"/>
        <v>1.2267295951211648</v>
      </c>
      <c r="W1002" s="304">
        <f t="shared" ca="1" si="439"/>
        <v>58.039156883942518</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2.0089205385039683</v>
      </c>
      <c r="AH1002" s="304">
        <f t="shared" ca="1" si="463"/>
        <v>-7.7592106091639597</v>
      </c>
    </row>
    <row r="1003" spans="1:34" x14ac:dyDescent="0.2">
      <c r="A1003" s="347">
        <f t="shared" ca="1" si="441"/>
        <v>1E-4</v>
      </c>
      <c r="B1003" s="304">
        <f t="shared" ca="1" si="442"/>
        <v>34.74720000000179</v>
      </c>
      <c r="D1003" s="306">
        <f t="shared" ca="1" si="443"/>
        <v>-0.716107398796615</v>
      </c>
      <c r="E1003" s="307">
        <f t="shared" ca="1" si="444"/>
        <v>-2.0838701763976744</v>
      </c>
      <c r="F1003" s="304">
        <f t="shared" ca="1" si="445"/>
        <v>2.2034801380295961</v>
      </c>
      <c r="G1003" s="306">
        <f t="shared" ca="1" si="446"/>
        <v>11.270520041390137</v>
      </c>
      <c r="H1003" s="307">
        <f t="shared" ca="1" si="447"/>
        <v>-121.59936298239788</v>
      </c>
      <c r="I1003" s="304">
        <f t="shared" ca="1" si="448"/>
        <v>122.12055396094604</v>
      </c>
      <c r="J1003" s="306">
        <f t="shared" ca="1" si="449"/>
        <v>786.02923903053897</v>
      </c>
      <c r="K1003" s="307">
        <f t="shared" ca="1" si="450"/>
        <v>-14.121343292647484</v>
      </c>
      <c r="L1003" s="304">
        <f t="shared" ca="1" si="435"/>
        <v>786.15607670952784</v>
      </c>
      <c r="M1003" s="306">
        <f t="shared" ca="1" si="451"/>
        <v>-1.4783746935081172</v>
      </c>
      <c r="N1003" s="304">
        <f t="shared" ca="1" si="452"/>
        <v>-84.704630476961739</v>
      </c>
      <c r="P1003" s="310">
        <f t="shared" ca="1" si="453"/>
        <v>23</v>
      </c>
      <c r="Q1003" s="304">
        <f t="shared" ca="1" si="454"/>
        <v>0</v>
      </c>
      <c r="R1003" s="306">
        <f t="shared" ca="1" si="455"/>
        <v>0</v>
      </c>
      <c r="S1003" s="307">
        <f t="shared" ca="1" si="456"/>
        <v>7.4799999999999969</v>
      </c>
      <c r="T1003" s="304">
        <f t="shared" ca="1" si="436"/>
        <v>73.37879999999997</v>
      </c>
      <c r="U1003" s="311">
        <f t="shared" ca="1" si="437"/>
        <v>0</v>
      </c>
      <c r="V1003" s="306">
        <f ca="1">Rho_moyen*(20000-Alt_rampe-pos_z)/(20000+Alt_rampe+pos_z)</f>
        <v>1.2267310868169101</v>
      </c>
      <c r="W1003" s="304">
        <f t="shared" ca="1" si="439"/>
        <v>58.039418409064439</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2.0088862461801025</v>
      </c>
      <c r="AH1003" s="304">
        <f t="shared" ca="1" si="463"/>
        <v>-7.7592455727195908</v>
      </c>
    </row>
    <row r="1004" spans="1:34" x14ac:dyDescent="0.2">
      <c r="A1004" s="348">
        <f t="shared" ca="1" si="441"/>
        <v>1E-4</v>
      </c>
      <c r="B1004" s="305">
        <f t="shared" ca="1" si="442"/>
        <v>34.747300000001793</v>
      </c>
      <c r="D1004" s="308">
        <f t="shared" ca="1" si="443"/>
        <v>-0.71610489758667872</v>
      </c>
      <c r="E1004" s="309">
        <f t="shared" ca="1" si="444"/>
        <v>-2.0838348314604582</v>
      </c>
      <c r="F1004" s="305">
        <f t="shared" ca="1" si="445"/>
        <v>2.2034458988492238</v>
      </c>
      <c r="G1004" s="308">
        <f t="shared" ca="1" si="446"/>
        <v>11.270448430900379</v>
      </c>
      <c r="H1004" s="309">
        <f t="shared" ca="1" si="447"/>
        <v>-121.59957136588102</v>
      </c>
      <c r="I1004" s="305">
        <f t="shared" ca="1" si="448"/>
        <v>122.120754846175</v>
      </c>
      <c r="J1004" s="308">
        <f t="shared" ca="1" si="449"/>
        <v>786.02923903053897</v>
      </c>
      <c r="K1004" s="309">
        <f t="shared" ca="1" si="450"/>
        <v>-14.133503239364899</v>
      </c>
      <c r="L1004" s="305">
        <f t="shared" ca="1" si="435"/>
        <v>786.15629522681127</v>
      </c>
      <c r="M1004" s="308">
        <f t="shared" ca="1" si="451"/>
        <v>-1.4783754348776208</v>
      </c>
      <c r="N1004" s="305">
        <f t="shared" ca="1" si="452"/>
        <v>-84.704672954305352</v>
      </c>
      <c r="P1004" s="312">
        <f t="shared" ca="1" si="453"/>
        <v>23</v>
      </c>
      <c r="Q1004" s="305">
        <f t="shared" ca="1" si="454"/>
        <v>0</v>
      </c>
      <c r="R1004" s="308">
        <f t="shared" ca="1" si="455"/>
        <v>0</v>
      </c>
      <c r="S1004" s="309">
        <f t="shared" ca="1" si="456"/>
        <v>7.4799999999999969</v>
      </c>
      <c r="T1004" s="305">
        <f t="shared" ca="1" si="436"/>
        <v>73.37879999999997</v>
      </c>
      <c r="U1004" s="313">
        <f t="shared" ca="1" si="437"/>
        <v>0</v>
      </c>
      <c r="V1004" s="308">
        <f t="shared" ca="1" si="438"/>
        <v>1.2267325785170267</v>
      </c>
      <c r="W1004" s="305">
        <f ca="1">1/2*Rho*Sref*Cx*vit_xz^2</f>
        <v>58.039679931912097</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2.008851954148434</v>
      </c>
      <c r="AH1004" s="305">
        <f t="shared" ca="1" si="463"/>
        <v>-7.7592805359711852</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598" t="s">
        <v>281</v>
      </c>
      <c r="D2" s="598"/>
      <c r="M2" s="75"/>
    </row>
    <row r="3" spans="1:13" ht="12.75" customHeight="1" x14ac:dyDescent="0.2">
      <c r="A3" s="56"/>
      <c r="B3" s="2"/>
      <c r="C3" s="598"/>
      <c r="D3" s="598"/>
      <c r="M3" s="75"/>
    </row>
    <row r="4" spans="1:13" x14ac:dyDescent="0.2">
      <c r="A4" s="56"/>
      <c r="B4" s="2"/>
      <c r="C4" s="603" t="str">
        <f>IF(Lang="Français","Abaques de performance",IF(Lang="English","Performance charts",""))</f>
        <v>Abaques de performance</v>
      </c>
      <c r="D4" s="603"/>
      <c r="M4" s="75"/>
    </row>
    <row r="5" spans="1:13" x14ac:dyDescent="0.2">
      <c r="A5" s="56"/>
      <c r="B5" s="2"/>
      <c r="C5" s="603" t="str">
        <f>IF(Lang="Français","Calcul analytique simple",IF(Lang="English","Analytical computation",""))</f>
        <v>Calcul analytique simple</v>
      </c>
      <c r="D5" s="603"/>
      <c r="M5" s="75"/>
    </row>
    <row r="6" spans="1:13" x14ac:dyDescent="0.2">
      <c r="A6" s="56"/>
      <c r="B6" s="87"/>
      <c r="C6" s="1"/>
      <c r="D6" s="1"/>
      <c r="M6" s="75"/>
    </row>
    <row r="7" spans="1:13" x14ac:dyDescent="0.2">
      <c r="A7" s="59"/>
      <c r="B7" s="6"/>
      <c r="C7" s="599" t="str">
        <f>IF(Lang="Français","Fusée",IF(Lang="English","Rocket",""))</f>
        <v>Fusée</v>
      </c>
      <c r="D7" s="599"/>
      <c r="M7" s="75"/>
    </row>
    <row r="8" spans="1:13" ht="15.75" x14ac:dyDescent="0.25">
      <c r="A8" s="59"/>
      <c r="B8" s="140" t="str">
        <f>IF(Lang="Français","Nom",IF(Lang="English","Name",""))</f>
        <v>Nom</v>
      </c>
      <c r="C8" s="600" t="str">
        <f>Nom</f>
        <v>SP02</v>
      </c>
      <c r="D8" s="600"/>
      <c r="M8" s="75"/>
    </row>
    <row r="9" spans="1:13" ht="15.75" x14ac:dyDescent="0.25">
      <c r="A9" s="59"/>
      <c r="B9" s="140" t="s">
        <v>4</v>
      </c>
      <c r="C9" s="600" t="str">
        <f>Club</f>
        <v>L'AéroIPSA</v>
      </c>
      <c r="D9" s="600"/>
      <c r="M9" s="75"/>
    </row>
    <row r="10" spans="1:13" ht="15.75" x14ac:dyDescent="0.25">
      <c r="A10" s="59"/>
      <c r="B10" s="140" t="s">
        <v>563</v>
      </c>
      <c r="C10" s="666" t="str">
        <f>Matricule</f>
        <v>FX0</v>
      </c>
      <c r="D10" s="667"/>
      <c r="M10" s="75"/>
    </row>
    <row r="11" spans="1:13" x14ac:dyDescent="0.2">
      <c r="A11" s="59"/>
      <c r="B11" s="140" t="str">
        <f>IF(Lang="Français","Masse sans propu",IF(Lang="English","Mass without M",""))</f>
        <v>Masse sans propu</v>
      </c>
      <c r="C11" s="662">
        <f>MasseSans</f>
        <v>6.83</v>
      </c>
      <c r="D11" s="662"/>
      <c r="M11" s="75"/>
    </row>
    <row r="12" spans="1:13" x14ac:dyDescent="0.2">
      <c r="A12" s="59"/>
      <c r="B12" s="140" t="str">
        <f>IF(Lang="Français","Masse totale",IF(Lang="English","Total mass",""))</f>
        <v>Masse totale</v>
      </c>
      <c r="C12" s="665" t="str">
        <f ca="1">MassePlein &amp; " kg ±" &amp; MasseSans &amp; " kg"</f>
        <v>8,462 kg ±6,83 kg</v>
      </c>
      <c r="D12" s="665"/>
      <c r="M12" s="75"/>
    </row>
    <row r="13" spans="1:13" x14ac:dyDescent="0.2">
      <c r="A13" s="59"/>
      <c r="B13" s="227" t="str">
        <f>IF(Lang="Français","Propulseur",IF(Lang="English","Motor",""))</f>
        <v>Propulseur</v>
      </c>
      <c r="C13" s="628" t="str">
        <f>Propu</f>
        <v>Pro54-5G WT</v>
      </c>
      <c r="D13" s="629"/>
      <c r="M13" s="75"/>
    </row>
    <row r="14" spans="1:13" x14ac:dyDescent="0.2">
      <c r="A14" s="59"/>
      <c r="B14" s="1"/>
      <c r="C14" s="1"/>
      <c r="D14" s="1"/>
      <c r="M14" s="75"/>
    </row>
    <row r="15" spans="1:13" x14ac:dyDescent="0.2">
      <c r="A15" s="74"/>
      <c r="C15" s="599" t="str">
        <f>IF(Lang="Français","Traînée Aérdynamique",IF(Lang="English","Drag",""))</f>
        <v>Traînée Aérdynamique</v>
      </c>
      <c r="D15" s="599"/>
      <c r="M15" s="75"/>
    </row>
    <row r="16" spans="1:13" x14ac:dyDescent="0.2">
      <c r="A16" s="74"/>
      <c r="B16" s="139" t="str">
        <f>IF(Lang="Français","Diamètre Ø",IF(Lang="English","Diameter Ø",""))</f>
        <v>Diamètre Ø</v>
      </c>
      <c r="C16" s="663">
        <f>D_ref</f>
        <v>104</v>
      </c>
      <c r="D16" s="663"/>
      <c r="M16" s="75"/>
    </row>
    <row r="17" spans="1:13" x14ac:dyDescent="0.2">
      <c r="A17" s="74"/>
      <c r="B17" s="140" t="s">
        <v>5</v>
      </c>
      <c r="C17" s="664">
        <f>Cx</f>
        <v>0.6</v>
      </c>
      <c r="D17" s="664"/>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54</v>
      </c>
      <c r="C43" s="403">
        <f t="shared" ref="C43:C69" ca="1" si="1">1/2*Rho_moyen*PI()*D_var^2/4*Cx/10^6</f>
        <v>8.4165623384160752E-4</v>
      </c>
      <c r="D43" s="400">
        <f ca="1">MpropuPlein+0*MasseSans</f>
        <v>1.6319999999999999</v>
      </c>
      <c r="E43" s="400">
        <f t="shared" ref="E43:E69" ca="1" si="2">m_var - 0.5*m_poudre</f>
        <v>1.141</v>
      </c>
      <c r="F43" s="400">
        <f t="shared" ref="F43:F69" ca="1" si="3">m_var - m_poudre</f>
        <v>0.65</v>
      </c>
      <c r="G43" s="407">
        <f t="shared" ref="G43:G69" ca="1" si="4">MAX(0, (I_total/Temps_fin_propu)/m_prop-g)</f>
        <v>1020.3714198071864</v>
      </c>
      <c r="H43" s="406">
        <f t="shared" ref="H43:H69" ca="1" si="5">Q_var/m_prop</f>
        <v>7.3764788242033962E-4</v>
      </c>
      <c r="I43" s="403">
        <f t="shared" ref="I43:I69" ca="1" si="6">Q_var/m_bal</f>
        <v>1.2948557443717037E-3</v>
      </c>
      <c r="J43" s="403">
        <f t="shared" ref="J43:J69" ca="1" si="7">1/(2*b_prop)*LN(  ((EXP(2*SQRT(a_prop*b_prop)*Temps_fin_propu)+1)^2)  /  (((1+1)^2)*EXP(2*SQRT(a_prop*b_prop)*Temps_fin_propu)))</f>
        <v>1128.923841116238</v>
      </c>
      <c r="K43" s="410">
        <f t="shared" ref="K43:K69" ca="1" si="8">SQRT(a_prop/b_prop)  *  (EXP(2*SQRT(a_prop*b_prop)*Temps_fin_propu)-1)/(EXP(2*SQRT(a_prop*b_prop)*Temps_fin_propu)+1)</f>
        <v>1059.1052405465541</v>
      </c>
      <c r="L43" s="413">
        <f t="shared" ref="L43:L69" ca="1" si="9">alt_prop + 1/(2*b_bal) * LN(1+b_bal/g*V_prop^2)</f>
        <v>3061.3138476180256</v>
      </c>
      <c r="M43" s="416">
        <f t="shared" ref="M43:M69" ca="1" si="10">Temps_fin_propu + ATAN(SQRT(b_bal/g)*V_prop)/SQRT(b_bal*g)</f>
        <v>14.909619717772436</v>
      </c>
    </row>
    <row r="44" spans="1:13" x14ac:dyDescent="0.2">
      <c r="B44" s="426">
        <f t="shared" ca="1" si="0"/>
        <v>54</v>
      </c>
      <c r="C44" s="404">
        <f t="shared" ca="1" si="1"/>
        <v>8.4165623384160752E-4</v>
      </c>
      <c r="D44" s="401">
        <f ca="1">MpropuPlein+0.25*MasseSans</f>
        <v>3.3395000000000001</v>
      </c>
      <c r="E44" s="401">
        <f t="shared" ca="1" si="2"/>
        <v>2.8485</v>
      </c>
      <c r="F44" s="401">
        <f t="shared" ca="1" si="3"/>
        <v>2.3575000000000004</v>
      </c>
      <c r="G44" s="408">
        <f t="shared" ca="1" si="4"/>
        <v>402.84121994031932</v>
      </c>
      <c r="H44" s="404">
        <f t="shared" ca="1" si="5"/>
        <v>2.9547348914923905E-4</v>
      </c>
      <c r="I44" s="404">
        <f t="shared" ca="1" si="6"/>
        <v>3.5701218826791404E-4</v>
      </c>
      <c r="J44" s="404">
        <f t="shared" ca="1" si="7"/>
        <v>551.50579564049349</v>
      </c>
      <c r="K44" s="411">
        <f t="shared" ca="1" si="8"/>
        <v>615.7889262321703</v>
      </c>
      <c r="L44" s="414">
        <f t="shared" ca="1" si="9"/>
        <v>4325.3606880994921</v>
      </c>
      <c r="M44" s="417">
        <f t="shared" ca="1" si="10"/>
        <v>23.799275788936356</v>
      </c>
    </row>
    <row r="45" spans="1:13" x14ac:dyDescent="0.2">
      <c r="B45" s="426">
        <f t="shared" ca="1" si="0"/>
        <v>54</v>
      </c>
      <c r="C45" s="404">
        <f t="shared" ca="1" si="1"/>
        <v>8.4165623384160752E-4</v>
      </c>
      <c r="D45" s="401">
        <f ca="1">MpropuPlein+0.5*MasseSans</f>
        <v>5.0469999999999997</v>
      </c>
      <c r="E45" s="401">
        <f t="shared" ca="1" si="2"/>
        <v>4.556</v>
      </c>
      <c r="F45" s="401">
        <f t="shared" ca="1" si="3"/>
        <v>4.0649999999999995</v>
      </c>
      <c r="G45" s="408">
        <f t="shared" ca="1" si="4"/>
        <v>248.18758560140469</v>
      </c>
      <c r="H45" s="404">
        <f t="shared" ca="1" si="5"/>
        <v>1.8473578442528699E-4</v>
      </c>
      <c r="I45" s="404">
        <f t="shared" ca="1" si="6"/>
        <v>2.0704950402007568E-4</v>
      </c>
      <c r="J45" s="404">
        <f t="shared" ca="1" si="7"/>
        <v>350.98010874882948</v>
      </c>
      <c r="K45" s="411">
        <f t="shared" ca="1" si="8"/>
        <v>404.22101204983159</v>
      </c>
      <c r="L45" s="414">
        <f t="shared" ca="1" si="9"/>
        <v>3955.4071880632027</v>
      </c>
      <c r="M45" s="417">
        <f t="shared" ca="1" si="10"/>
        <v>25.593312973381835</v>
      </c>
    </row>
    <row r="46" spans="1:13" x14ac:dyDescent="0.2">
      <c r="B46" s="426">
        <f t="shared" ca="1" si="0"/>
        <v>54</v>
      </c>
      <c r="C46" s="404">
        <f t="shared" ca="1" si="1"/>
        <v>8.4165623384160752E-4</v>
      </c>
      <c r="D46" s="401">
        <f ca="1">MpropuPlein+0.75*MasseSans</f>
        <v>6.7545000000000002</v>
      </c>
      <c r="E46" s="401">
        <f t="shared" ca="1" si="2"/>
        <v>6.2635000000000005</v>
      </c>
      <c r="F46" s="401">
        <f t="shared" ca="1" si="3"/>
        <v>5.7725</v>
      </c>
      <c r="G46" s="408">
        <f t="shared" ca="1" si="4"/>
        <v>177.85456454059226</v>
      </c>
      <c r="H46" s="404">
        <f t="shared" ca="1" si="5"/>
        <v>1.343747479590656E-4</v>
      </c>
      <c r="I46" s="404">
        <f t="shared" ca="1" si="6"/>
        <v>1.458044580063417E-4</v>
      </c>
      <c r="J46" s="404">
        <f t="shared" ca="1" si="7"/>
        <v>254.09478189690191</v>
      </c>
      <c r="K46" s="411">
        <f t="shared" ca="1" si="8"/>
        <v>295.57881976126885</v>
      </c>
      <c r="L46" s="414">
        <f t="shared" ca="1" si="9"/>
        <v>3108.1403803500807</v>
      </c>
      <c r="M46" s="417">
        <f t="shared" ca="1" si="10"/>
        <v>24.18869906407312</v>
      </c>
    </row>
    <row r="47" spans="1:13" x14ac:dyDescent="0.2">
      <c r="B47" s="426">
        <f t="shared" ca="1" si="0"/>
        <v>54</v>
      </c>
      <c r="C47" s="404">
        <f t="shared" ca="1" si="1"/>
        <v>8.4165623384160752E-4</v>
      </c>
      <c r="D47" s="401">
        <f ca="1">MpropuPlein+1*MasseSans</f>
        <v>8.4619999999999997</v>
      </c>
      <c r="E47" s="401">
        <f t="shared" ca="1" si="2"/>
        <v>7.9710000000000001</v>
      </c>
      <c r="F47" s="401">
        <f t="shared" ca="1" si="3"/>
        <v>7.4799999999999995</v>
      </c>
      <c r="G47" s="408">
        <f t="shared" ca="1" si="4"/>
        <v>137.65418266215025</v>
      </c>
      <c r="H47" s="404">
        <f t="shared" ca="1" si="5"/>
        <v>1.055897922270239E-4</v>
      </c>
      <c r="I47" s="404">
        <f t="shared" ca="1" si="6"/>
        <v>1.1252088687722026E-4</v>
      </c>
      <c r="J47" s="404">
        <f t="shared" ca="1" si="7"/>
        <v>197.53313246121587</v>
      </c>
      <c r="K47" s="411">
        <f t="shared" ca="1" si="8"/>
        <v>230.78962352252088</v>
      </c>
      <c r="L47" s="414">
        <f t="shared" ca="1" si="9"/>
        <v>2316.3230082706414</v>
      </c>
      <c r="M47" s="417">
        <f t="shared" ca="1" si="10"/>
        <v>21.668607011292366</v>
      </c>
    </row>
    <row r="48" spans="1:13" x14ac:dyDescent="0.2">
      <c r="B48" s="426">
        <f t="shared" ca="1" si="0"/>
        <v>54</v>
      </c>
      <c r="C48" s="404">
        <f t="shared" ca="1" si="1"/>
        <v>8.4165623384160752E-4</v>
      </c>
      <c r="D48" s="401">
        <f ca="1">MpropuPlein+1.25*MasseSans</f>
        <v>10.169499999999999</v>
      </c>
      <c r="E48" s="401">
        <f t="shared" ca="1" si="2"/>
        <v>9.6784999999999997</v>
      </c>
      <c r="F48" s="401">
        <f t="shared" ca="1" si="3"/>
        <v>9.1875</v>
      </c>
      <c r="G48" s="408">
        <f t="shared" ca="1" si="4"/>
        <v>111.63826161078677</v>
      </c>
      <c r="H48" s="404">
        <f t="shared" ca="1" si="5"/>
        <v>8.6961433470228607E-5</v>
      </c>
      <c r="I48" s="404">
        <f t="shared" ca="1" si="6"/>
        <v>9.1608841778678373E-5</v>
      </c>
      <c r="J48" s="404">
        <f t="shared" ca="1" si="7"/>
        <v>160.56854400388673</v>
      </c>
      <c r="K48" s="411">
        <f t="shared" ca="1" si="8"/>
        <v>188.02982230775356</v>
      </c>
      <c r="L48" s="414">
        <f t="shared" ca="1" si="9"/>
        <v>1717.7203671466293</v>
      </c>
      <c r="M48" s="417">
        <f t="shared" ca="1" si="10"/>
        <v>19.097034317543876</v>
      </c>
    </row>
    <row r="49" spans="2:13" x14ac:dyDescent="0.2">
      <c r="B49" s="426">
        <f t="shared" ca="1" si="0"/>
        <v>54</v>
      </c>
      <c r="C49" s="404">
        <f t="shared" ca="1" si="1"/>
        <v>8.4165623384160752E-4</v>
      </c>
      <c r="D49" s="401">
        <f ca="1">MpropuPlein+1.5*MasseSans</f>
        <v>11.877000000000001</v>
      </c>
      <c r="E49" s="401">
        <f t="shared" ca="1" si="2"/>
        <v>11.386000000000001</v>
      </c>
      <c r="F49" s="401">
        <f t="shared" ca="1" si="3"/>
        <v>10.895000000000001</v>
      </c>
      <c r="G49" s="408">
        <f t="shared" ca="1" si="4"/>
        <v>93.425288951343717</v>
      </c>
      <c r="H49" s="404">
        <f t="shared" ca="1" si="5"/>
        <v>7.39202734798531E-5</v>
      </c>
      <c r="I49" s="404">
        <f t="shared" ca="1" si="6"/>
        <v>7.7251604758293475E-5</v>
      </c>
      <c r="J49" s="404">
        <f t="shared" ca="1" si="7"/>
        <v>134.55285554891327</v>
      </c>
      <c r="K49" s="411">
        <f t="shared" ca="1" si="8"/>
        <v>157.77474105901828</v>
      </c>
      <c r="L49" s="414">
        <f t="shared" ca="1" si="9"/>
        <v>1293.1327366726155</v>
      </c>
      <c r="M49" s="417">
        <f t="shared" ca="1" si="10"/>
        <v>16.840724714453202</v>
      </c>
    </row>
    <row r="50" spans="2:13" x14ac:dyDescent="0.2">
      <c r="B50" s="426">
        <f t="shared" ca="1" si="0"/>
        <v>54</v>
      </c>
      <c r="C50" s="404">
        <f t="shared" ca="1" si="1"/>
        <v>8.4165623384160752E-4</v>
      </c>
      <c r="D50" s="401">
        <f ca="1">MpropuPlein+1.75*MasseSans</f>
        <v>13.5845</v>
      </c>
      <c r="E50" s="401">
        <f t="shared" ca="1" si="2"/>
        <v>13.093500000000001</v>
      </c>
      <c r="F50" s="401">
        <f t="shared" ca="1" si="3"/>
        <v>12.602500000000001</v>
      </c>
      <c r="G50" s="408">
        <f t="shared" ca="1" si="4"/>
        <v>79.96255890327258</v>
      </c>
      <c r="H50" s="404">
        <f t="shared" ca="1" si="5"/>
        <v>6.4280462354726202E-5</v>
      </c>
      <c r="I50" s="404">
        <f t="shared" ca="1" si="6"/>
        <v>6.6784862832105327E-5</v>
      </c>
      <c r="J50" s="404">
        <f t="shared" ca="1" si="7"/>
        <v>115.2609593443221</v>
      </c>
      <c r="K50" s="411">
        <f t="shared" ca="1" si="8"/>
        <v>135.26722836126777</v>
      </c>
      <c r="L50" s="414">
        <f t="shared" ca="1" si="9"/>
        <v>994.17142938797701</v>
      </c>
      <c r="M50" s="417">
        <f t="shared" ca="1" si="10"/>
        <v>14.955498133490078</v>
      </c>
    </row>
    <row r="51" spans="2:13" x14ac:dyDescent="0.2">
      <c r="B51" s="427">
        <f t="shared" ca="1" si="0"/>
        <v>54</v>
      </c>
      <c r="C51" s="405">
        <f t="shared" ca="1" si="1"/>
        <v>8.4165623384160752E-4</v>
      </c>
      <c r="D51" s="402">
        <f ca="1">MpropuPlein+2*MasseSans</f>
        <v>15.292</v>
      </c>
      <c r="E51" s="402">
        <f t="shared" ca="1" si="2"/>
        <v>14.801</v>
      </c>
      <c r="F51" s="402">
        <f t="shared" ca="1" si="3"/>
        <v>14.31</v>
      </c>
      <c r="G51" s="409">
        <f t="shared" ca="1" si="4"/>
        <v>69.606052969393929</v>
      </c>
      <c r="H51" s="405">
        <f t="shared" ca="1" si="5"/>
        <v>5.6864822231038948E-5</v>
      </c>
      <c r="I51" s="405">
        <f t="shared" ca="1" si="6"/>
        <v>5.8815949255178719E-5</v>
      </c>
      <c r="J51" s="405">
        <f t="shared" ca="1" si="7"/>
        <v>100.38957205091592</v>
      </c>
      <c r="K51" s="412">
        <f t="shared" ca="1" si="8"/>
        <v>117.88115112765662</v>
      </c>
      <c r="L51" s="415">
        <f t="shared" ca="1" si="9"/>
        <v>780.68382223183562</v>
      </c>
      <c r="M51" s="418">
        <f t="shared" ca="1" si="10"/>
        <v>13.39846646080044</v>
      </c>
    </row>
    <row r="52" spans="2:13" x14ac:dyDescent="0.2">
      <c r="B52" s="425">
        <f t="shared" ref="B52:B60" si="11">D_ref</f>
        <v>104</v>
      </c>
      <c r="C52" s="403">
        <f t="shared" si="1"/>
        <v>3.12186345172525E-3</v>
      </c>
      <c r="D52" s="400">
        <f ca="1">MpropuPlein+0*MasseSans</f>
        <v>1.6319999999999999</v>
      </c>
      <c r="E52" s="400">
        <f t="shared" ca="1" si="2"/>
        <v>1.141</v>
      </c>
      <c r="F52" s="400">
        <f t="shared" ca="1" si="3"/>
        <v>0.65</v>
      </c>
      <c r="G52" s="407">
        <f t="shared" ca="1" si="4"/>
        <v>1020.3714198071864</v>
      </c>
      <c r="H52" s="403">
        <f t="shared" ca="1" si="5"/>
        <v>2.7360766448074059E-3</v>
      </c>
      <c r="I52" s="403">
        <f t="shared" ca="1" si="6"/>
        <v>4.802866848808077E-3</v>
      </c>
      <c r="J52" s="403">
        <f t="shared" ca="1" si="7"/>
        <v>786.06726157459536</v>
      </c>
      <c r="K52" s="410">
        <f t="shared" ca="1" si="8"/>
        <v>606.53083624323062</v>
      </c>
      <c r="L52" s="413">
        <f t="shared" ca="1" si="9"/>
        <v>1327.3172653379916</v>
      </c>
      <c r="M52" s="416">
        <f t="shared" ca="1" si="10"/>
        <v>8.5939636005069602</v>
      </c>
    </row>
    <row r="53" spans="2:13" x14ac:dyDescent="0.2">
      <c r="B53" s="426">
        <f t="shared" si="11"/>
        <v>104</v>
      </c>
      <c r="C53" s="404">
        <f t="shared" si="1"/>
        <v>3.12186345172525E-3</v>
      </c>
      <c r="D53" s="401">
        <f ca="1">MpropuPlein+0.25*MasseSans</f>
        <v>3.3395000000000001</v>
      </c>
      <c r="E53" s="401">
        <f t="shared" ca="1" si="2"/>
        <v>2.8485</v>
      </c>
      <c r="F53" s="401">
        <f t="shared" ca="1" si="3"/>
        <v>2.3575000000000004</v>
      </c>
      <c r="G53" s="408">
        <f t="shared" ca="1" si="4"/>
        <v>402.84121994031932</v>
      </c>
      <c r="H53" s="404">
        <f t="shared" ca="1" si="5"/>
        <v>1.095967509821046E-3</v>
      </c>
      <c r="I53" s="404">
        <f t="shared" ca="1" si="6"/>
        <v>1.3242262785685046E-3</v>
      </c>
      <c r="J53" s="404">
        <f t="shared" ca="1" si="7"/>
        <v>488.85096476669662</v>
      </c>
      <c r="K53" s="411">
        <f t="shared" ca="1" si="8"/>
        <v>491.61053941496345</v>
      </c>
      <c r="L53" s="414">
        <f t="shared" ca="1" si="9"/>
        <v>1816.1303285315666</v>
      </c>
      <c r="M53" s="417">
        <f t="shared" ca="1" si="10"/>
        <v>13.961069616022911</v>
      </c>
    </row>
    <row r="54" spans="2:13" x14ac:dyDescent="0.2">
      <c r="B54" s="426">
        <f t="shared" si="11"/>
        <v>104</v>
      </c>
      <c r="C54" s="404">
        <f t="shared" si="1"/>
        <v>3.12186345172525E-3</v>
      </c>
      <c r="D54" s="401">
        <f ca="1">MpropuPlein+0.5*MasseSans</f>
        <v>5.0469999999999997</v>
      </c>
      <c r="E54" s="401">
        <f t="shared" ca="1" si="2"/>
        <v>4.556</v>
      </c>
      <c r="F54" s="401">
        <f t="shared" ca="1" si="3"/>
        <v>4.0649999999999995</v>
      </c>
      <c r="G54" s="408">
        <f t="shared" ca="1" si="4"/>
        <v>248.18758560140469</v>
      </c>
      <c r="H54" s="404">
        <f t="shared" ca="1" si="5"/>
        <v>6.8522024840325939E-4</v>
      </c>
      <c r="I54" s="404">
        <f t="shared" ca="1" si="6"/>
        <v>7.6798608898530146E-4</v>
      </c>
      <c r="J54" s="404">
        <f t="shared" ca="1" si="7"/>
        <v>332.60852528932622</v>
      </c>
      <c r="K54" s="411">
        <f t="shared" ca="1" si="8"/>
        <v>364.13154243172613</v>
      </c>
      <c r="L54" s="414">
        <f t="shared" ca="1" si="9"/>
        <v>1915.8826314806709</v>
      </c>
      <c r="M54" s="417">
        <f t="shared" ca="1" si="10"/>
        <v>16.329783588808194</v>
      </c>
    </row>
    <row r="55" spans="2:13" x14ac:dyDescent="0.2">
      <c r="B55" s="426">
        <f t="shared" si="11"/>
        <v>104</v>
      </c>
      <c r="C55" s="404">
        <f t="shared" si="1"/>
        <v>3.12186345172525E-3</v>
      </c>
      <c r="D55" s="401">
        <f ca="1">MpropuPlein+0.75*MasseSans</f>
        <v>6.7545000000000002</v>
      </c>
      <c r="E55" s="401">
        <f t="shared" ca="1" si="2"/>
        <v>6.2635000000000005</v>
      </c>
      <c r="F55" s="401">
        <f t="shared" ca="1" si="3"/>
        <v>5.7725</v>
      </c>
      <c r="G55" s="408">
        <f t="shared" ca="1" si="4"/>
        <v>177.85456454059226</v>
      </c>
      <c r="H55" s="404">
        <f t="shared" ca="1" si="5"/>
        <v>4.9842156170276197E-4</v>
      </c>
      <c r="I55" s="404">
        <f t="shared" ca="1" si="6"/>
        <v>5.4081653559553923E-4</v>
      </c>
      <c r="J55" s="404">
        <f t="shared" ca="1" si="7"/>
        <v>246.72226743234449</v>
      </c>
      <c r="K55" s="411">
        <f t="shared" ca="1" si="8"/>
        <v>278.9303191672422</v>
      </c>
      <c r="L55" s="414">
        <f t="shared" ca="1" si="9"/>
        <v>1786.671235778605</v>
      </c>
      <c r="M55" s="417">
        <f t="shared" ca="1" si="10"/>
        <v>17.089733365894261</v>
      </c>
    </row>
    <row r="56" spans="2:13" x14ac:dyDescent="0.2">
      <c r="B56" s="426">
        <f t="shared" si="11"/>
        <v>104</v>
      </c>
      <c r="C56" s="404">
        <f t="shared" si="1"/>
        <v>3.12186345172525E-3</v>
      </c>
      <c r="D56" s="401">
        <f ca="1">MpropuPlein+1*MasseSans</f>
        <v>8.4619999999999997</v>
      </c>
      <c r="E56" s="401">
        <f t="shared" ca="1" si="2"/>
        <v>7.9710000000000001</v>
      </c>
      <c r="F56" s="401">
        <f t="shared" ca="1" si="3"/>
        <v>7.4799999999999995</v>
      </c>
      <c r="G56" s="408">
        <f t="shared" ca="1" si="4"/>
        <v>137.65418266215025</v>
      </c>
      <c r="H56" s="404">
        <f t="shared" ca="1" si="5"/>
        <v>3.9165267240311754E-4</v>
      </c>
      <c r="I56" s="404">
        <f t="shared" ca="1" si="6"/>
        <v>4.1736142402743989E-4</v>
      </c>
      <c r="J56" s="404">
        <f t="shared" ca="1" si="7"/>
        <v>193.94995517620484</v>
      </c>
      <c r="K56" s="411">
        <f t="shared" ca="1" si="8"/>
        <v>222.57101482844826</v>
      </c>
      <c r="L56" s="414">
        <f t="shared" ca="1" si="9"/>
        <v>1552.2915098772878</v>
      </c>
      <c r="M56" s="417">
        <f t="shared" ca="1" si="10"/>
        <v>16.82199866435209</v>
      </c>
    </row>
    <row r="57" spans="2:13" x14ac:dyDescent="0.2">
      <c r="B57" s="426">
        <f t="shared" si="11"/>
        <v>104</v>
      </c>
      <c r="C57" s="404">
        <f t="shared" si="1"/>
        <v>3.12186345172525E-3</v>
      </c>
      <c r="D57" s="401">
        <f ca="1">MpropuPlein+1.25*MasseSans</f>
        <v>10.169499999999999</v>
      </c>
      <c r="E57" s="401">
        <f t="shared" ca="1" si="2"/>
        <v>9.6784999999999997</v>
      </c>
      <c r="F57" s="401">
        <f t="shared" ca="1" si="3"/>
        <v>9.1875</v>
      </c>
      <c r="G57" s="408">
        <f t="shared" ca="1" si="4"/>
        <v>111.63826161078677</v>
      </c>
      <c r="H57" s="404">
        <f t="shared" ca="1" si="5"/>
        <v>3.2255653786488094E-4</v>
      </c>
      <c r="I57" s="404">
        <f t="shared" ca="1" si="6"/>
        <v>3.397946614122721E-4</v>
      </c>
      <c r="J57" s="404">
        <f t="shared" ca="1" si="7"/>
        <v>158.59457152322184</v>
      </c>
      <c r="K57" s="411">
        <f t="shared" ca="1" si="8"/>
        <v>183.46451096656776</v>
      </c>
      <c r="L57" s="414">
        <f t="shared" ca="1" si="9"/>
        <v>1295.7873228404255</v>
      </c>
      <c r="M57" s="417">
        <f t="shared" ca="1" si="10"/>
        <v>15.967281719194947</v>
      </c>
    </row>
    <row r="58" spans="2:13" x14ac:dyDescent="0.2">
      <c r="B58" s="426">
        <f t="shared" si="11"/>
        <v>104</v>
      </c>
      <c r="C58" s="404">
        <f t="shared" si="1"/>
        <v>3.12186345172525E-3</v>
      </c>
      <c r="D58" s="401">
        <f ca="1">MpropuPlein+1.5*MasseSans</f>
        <v>11.877000000000001</v>
      </c>
      <c r="E58" s="401">
        <f t="shared" ca="1" si="2"/>
        <v>11.386000000000001</v>
      </c>
      <c r="F58" s="401">
        <f t="shared" ca="1" si="3"/>
        <v>10.895000000000001</v>
      </c>
      <c r="G58" s="408">
        <f t="shared" ca="1" si="4"/>
        <v>93.425288951343717</v>
      </c>
      <c r="H58" s="404">
        <f t="shared" ca="1" si="5"/>
        <v>2.7418438887451691E-4</v>
      </c>
      <c r="I58" s="404">
        <f t="shared" ca="1" si="6"/>
        <v>2.8654093177836161E-4</v>
      </c>
      <c r="J58" s="404">
        <f t="shared" ca="1" si="7"/>
        <v>133.3660441152054</v>
      </c>
      <c r="K58" s="411">
        <f t="shared" ca="1" si="8"/>
        <v>155.01647219405271</v>
      </c>
      <c r="L58" s="414">
        <f t="shared" ca="1" si="9"/>
        <v>1061.2325846190358</v>
      </c>
      <c r="M58" s="417">
        <f t="shared" ca="1" si="10"/>
        <v>14.853215310717543</v>
      </c>
    </row>
    <row r="59" spans="2:13" x14ac:dyDescent="0.2">
      <c r="B59" s="426">
        <f t="shared" si="11"/>
        <v>104</v>
      </c>
      <c r="C59" s="404">
        <f t="shared" si="1"/>
        <v>3.12186345172525E-3</v>
      </c>
      <c r="D59" s="401">
        <f ca="1">MpropuPlein+1.75*MasseSans</f>
        <v>13.5845</v>
      </c>
      <c r="E59" s="401">
        <f t="shared" ca="1" si="2"/>
        <v>13.093500000000001</v>
      </c>
      <c r="F59" s="401">
        <f t="shared" ca="1" si="3"/>
        <v>12.602500000000001</v>
      </c>
      <c r="G59" s="408">
        <f t="shared" ca="1" si="4"/>
        <v>79.96255890327258</v>
      </c>
      <c r="H59" s="404">
        <f t="shared" ca="1" si="5"/>
        <v>2.3842849136787337E-4</v>
      </c>
      <c r="I59" s="404">
        <f t="shared" ca="1" si="6"/>
        <v>2.4771779025790518E-4</v>
      </c>
      <c r="J59" s="404">
        <f t="shared" ca="1" si="7"/>
        <v>114.5001571245989</v>
      </c>
      <c r="K59" s="411">
        <f t="shared" ca="1" si="8"/>
        <v>133.49352838720228</v>
      </c>
      <c r="L59" s="414">
        <f t="shared" ca="1" si="9"/>
        <v>864.46803262405138</v>
      </c>
      <c r="M59" s="417">
        <f t="shared" ca="1" si="10"/>
        <v>13.686139631832631</v>
      </c>
    </row>
    <row r="60" spans="2:13" x14ac:dyDescent="0.2">
      <c r="B60" s="427">
        <f t="shared" si="11"/>
        <v>104</v>
      </c>
      <c r="C60" s="405">
        <f t="shared" si="1"/>
        <v>3.12186345172525E-3</v>
      </c>
      <c r="D60" s="402">
        <f ca="1">MpropuPlein+2*MasseSans</f>
        <v>15.292</v>
      </c>
      <c r="E60" s="402">
        <f t="shared" ca="1" si="2"/>
        <v>14.801</v>
      </c>
      <c r="F60" s="402">
        <f t="shared" ca="1" si="3"/>
        <v>14.31</v>
      </c>
      <c r="G60" s="409">
        <f t="shared" ca="1" si="4"/>
        <v>69.606052969393929</v>
      </c>
      <c r="H60" s="405">
        <f t="shared" ca="1" si="5"/>
        <v>2.1092246819304439E-4</v>
      </c>
      <c r="I60" s="405">
        <f t="shared" ca="1" si="6"/>
        <v>2.181595703511705E-4</v>
      </c>
      <c r="J60" s="405">
        <f t="shared" ca="1" si="7"/>
        <v>99.877427142311106</v>
      </c>
      <c r="K60" s="412">
        <f t="shared" ca="1" si="8"/>
        <v>116.68464970939974</v>
      </c>
      <c r="L60" s="415">
        <f t="shared" ca="1" si="9"/>
        <v>706.09287374805865</v>
      </c>
      <c r="M60" s="418">
        <f t="shared" ca="1" si="10"/>
        <v>12.573815795629493</v>
      </c>
    </row>
    <row r="61" spans="2:13" x14ac:dyDescent="0.2">
      <c r="B61" s="425">
        <f t="shared" ref="B61:B69" si="12">D_ref*1.5</f>
        <v>156</v>
      </c>
      <c r="C61" s="403">
        <f t="shared" si="1"/>
        <v>7.0241927663818107E-3</v>
      </c>
      <c r="D61" s="400">
        <f ca="1">MpropuPlein+0*MasseSans</f>
        <v>1.6319999999999999</v>
      </c>
      <c r="E61" s="400">
        <f t="shared" ca="1" si="2"/>
        <v>1.141</v>
      </c>
      <c r="F61" s="400">
        <f t="shared" ca="1" si="3"/>
        <v>0.65</v>
      </c>
      <c r="G61" s="407">
        <f t="shared" ca="1" si="4"/>
        <v>1020.3714198071864</v>
      </c>
      <c r="H61" s="403">
        <f t="shared" ca="1" si="5"/>
        <v>6.1561724508166615E-3</v>
      </c>
      <c r="I61" s="403">
        <f t="shared" ca="1" si="6"/>
        <v>1.0806450409818169E-2</v>
      </c>
      <c r="J61" s="403">
        <f t="shared" ca="1" si="7"/>
        <v>579.54459070997723</v>
      </c>
      <c r="K61" s="410">
        <f t="shared" ca="1" si="8"/>
        <v>406.95910944410974</v>
      </c>
      <c r="L61" s="413">
        <f t="shared" ca="1" si="9"/>
        <v>820.6911852370938</v>
      </c>
      <c r="M61" s="416">
        <f t="shared" ca="1" si="10"/>
        <v>6.2974327332248148</v>
      </c>
    </row>
    <row r="62" spans="2:13" x14ac:dyDescent="0.2">
      <c r="B62" s="426">
        <f t="shared" si="12"/>
        <v>156</v>
      </c>
      <c r="C62" s="404">
        <f t="shared" si="1"/>
        <v>7.0241927663818107E-3</v>
      </c>
      <c r="D62" s="401">
        <f ca="1">MpropuPlein+0.25*MasseSans</f>
        <v>3.3395000000000001</v>
      </c>
      <c r="E62" s="401">
        <f t="shared" ca="1" si="2"/>
        <v>2.8485</v>
      </c>
      <c r="F62" s="401">
        <f t="shared" ca="1" si="3"/>
        <v>2.3575000000000004</v>
      </c>
      <c r="G62" s="408">
        <f t="shared" ca="1" si="4"/>
        <v>402.84121994031932</v>
      </c>
      <c r="H62" s="404">
        <f t="shared" ca="1" si="5"/>
        <v>2.4659268970973532E-3</v>
      </c>
      <c r="I62" s="404">
        <f t="shared" ca="1" si="6"/>
        <v>2.9795091267791345E-3</v>
      </c>
      <c r="J62" s="404">
        <f t="shared" ca="1" si="7"/>
        <v>419.4806443724782</v>
      </c>
      <c r="K62" s="411">
        <f t="shared" ca="1" si="8"/>
        <v>377.78898479983297</v>
      </c>
      <c r="L62" s="414">
        <f t="shared" ca="1" si="9"/>
        <v>1055.8403972256792</v>
      </c>
      <c r="M62" s="417">
        <f t="shared" ca="1" si="10"/>
        <v>10.006174943966496</v>
      </c>
    </row>
    <row r="63" spans="2:13" x14ac:dyDescent="0.2">
      <c r="B63" s="426">
        <f t="shared" si="12"/>
        <v>156</v>
      </c>
      <c r="C63" s="404">
        <f t="shared" si="1"/>
        <v>7.0241927663818107E-3</v>
      </c>
      <c r="D63" s="401">
        <f ca="1">MpropuPlein+0.5*MasseSans</f>
        <v>5.0469999999999997</v>
      </c>
      <c r="E63" s="401">
        <f t="shared" ca="1" si="2"/>
        <v>4.556</v>
      </c>
      <c r="F63" s="401">
        <f t="shared" ca="1" si="3"/>
        <v>4.0649999999999995</v>
      </c>
      <c r="G63" s="408">
        <f t="shared" ca="1" si="4"/>
        <v>248.18758560140469</v>
      </c>
      <c r="H63" s="404">
        <f t="shared" ca="1" si="5"/>
        <v>1.5417455589073334E-3</v>
      </c>
      <c r="I63" s="404">
        <f t="shared" ca="1" si="6"/>
        <v>1.7279687002169279E-3</v>
      </c>
      <c r="J63" s="404">
        <f t="shared" ca="1" si="7"/>
        <v>307.19318877842909</v>
      </c>
      <c r="K63" s="411">
        <f t="shared" ca="1" si="8"/>
        <v>313.92441982626013</v>
      </c>
      <c r="L63" s="414">
        <f t="shared" ca="1" si="9"/>
        <v>1149.252216551416</v>
      </c>
      <c r="M63" s="417">
        <f t="shared" ca="1" si="10"/>
        <v>11.955467149903587</v>
      </c>
    </row>
    <row r="64" spans="2:13" x14ac:dyDescent="0.2">
      <c r="B64" s="426">
        <f t="shared" si="12"/>
        <v>156</v>
      </c>
      <c r="C64" s="404">
        <f t="shared" si="1"/>
        <v>7.0241927663818107E-3</v>
      </c>
      <c r="D64" s="401">
        <f ca="1">MpropuPlein+0.75*MasseSans</f>
        <v>6.7545000000000002</v>
      </c>
      <c r="E64" s="401">
        <f t="shared" ca="1" si="2"/>
        <v>6.2635000000000005</v>
      </c>
      <c r="F64" s="401">
        <f t="shared" ca="1" si="3"/>
        <v>5.7725</v>
      </c>
      <c r="G64" s="408">
        <f t="shared" ca="1" si="4"/>
        <v>177.85456454059226</v>
      </c>
      <c r="H64" s="404">
        <f t="shared" ca="1" si="5"/>
        <v>1.1214485138312143E-3</v>
      </c>
      <c r="I64" s="404">
        <f t="shared" ca="1" si="6"/>
        <v>1.2168372050899629E-3</v>
      </c>
      <c r="J64" s="404">
        <f t="shared" ca="1" si="7"/>
        <v>235.54474387006223</v>
      </c>
      <c r="K64" s="411">
        <f t="shared" ca="1" si="8"/>
        <v>255.11965245857976</v>
      </c>
      <c r="L64" s="414">
        <f t="shared" ca="1" si="9"/>
        <v>1141.7203840514735</v>
      </c>
      <c r="M64" s="417">
        <f t="shared" ca="1" si="10"/>
        <v>12.979698024204632</v>
      </c>
    </row>
    <row r="65" spans="2:13" x14ac:dyDescent="0.2">
      <c r="B65" s="426">
        <f t="shared" si="12"/>
        <v>156</v>
      </c>
      <c r="C65" s="404">
        <f t="shared" si="1"/>
        <v>7.0241927663818107E-3</v>
      </c>
      <c r="D65" s="401">
        <f ca="1">MpropuPlein+1*MasseSans</f>
        <v>8.4619999999999997</v>
      </c>
      <c r="E65" s="401">
        <f t="shared" ca="1" si="2"/>
        <v>7.9710000000000001</v>
      </c>
      <c r="F65" s="401">
        <f t="shared" ca="1" si="3"/>
        <v>7.4799999999999995</v>
      </c>
      <c r="G65" s="408">
        <f t="shared" ca="1" si="4"/>
        <v>137.65418266215025</v>
      </c>
      <c r="H65" s="404">
        <f t="shared" ca="1" si="5"/>
        <v>8.812185129070143E-4</v>
      </c>
      <c r="I65" s="404">
        <f t="shared" ca="1" si="6"/>
        <v>9.3906320406173947E-4</v>
      </c>
      <c r="J65" s="404">
        <f t="shared" ca="1" si="7"/>
        <v>188.27099680943869</v>
      </c>
      <c r="K65" s="411">
        <f t="shared" ca="1" si="8"/>
        <v>210.02463605311161</v>
      </c>
      <c r="L65" s="414">
        <f t="shared" ca="1" si="9"/>
        <v>1068.3874529280472</v>
      </c>
      <c r="M65" s="417">
        <f t="shared" ca="1" si="10"/>
        <v>13.347036043244366</v>
      </c>
    </row>
    <row r="66" spans="2:13" x14ac:dyDescent="0.2">
      <c r="B66" s="426">
        <f t="shared" si="12"/>
        <v>156</v>
      </c>
      <c r="C66" s="404">
        <f t="shared" si="1"/>
        <v>7.0241927663818107E-3</v>
      </c>
      <c r="D66" s="401">
        <f ca="1">MpropuPlein+1.25*MasseSans</f>
        <v>10.169499999999999</v>
      </c>
      <c r="E66" s="401">
        <f t="shared" ca="1" si="2"/>
        <v>9.6784999999999997</v>
      </c>
      <c r="F66" s="401">
        <f t="shared" ca="1" si="3"/>
        <v>9.1875</v>
      </c>
      <c r="G66" s="408">
        <f t="shared" ca="1" si="4"/>
        <v>111.63826161078677</v>
      </c>
      <c r="H66" s="404">
        <f t="shared" ca="1" si="5"/>
        <v>7.257522101959819E-4</v>
      </c>
      <c r="I66" s="404">
        <f t="shared" ca="1" si="6"/>
        <v>7.6453798817761203E-4</v>
      </c>
      <c r="J66" s="404">
        <f t="shared" ca="1" si="7"/>
        <v>155.38892514437995</v>
      </c>
      <c r="K66" s="411">
        <f t="shared" ca="1" si="8"/>
        <v>176.23944349918349</v>
      </c>
      <c r="L66" s="414">
        <f t="shared" ca="1" si="9"/>
        <v>959.69008316795987</v>
      </c>
      <c r="M66" s="417">
        <f t="shared" ca="1" si="10"/>
        <v>13.241665302131123</v>
      </c>
    </row>
    <row r="67" spans="2:13" x14ac:dyDescent="0.2">
      <c r="B67" s="426">
        <f t="shared" si="12"/>
        <v>156</v>
      </c>
      <c r="C67" s="404">
        <f t="shared" si="1"/>
        <v>7.0241927663818107E-3</v>
      </c>
      <c r="D67" s="401">
        <f ca="1">MpropuPlein+1.5*MasseSans</f>
        <v>11.877000000000001</v>
      </c>
      <c r="E67" s="401">
        <f t="shared" ca="1" si="2"/>
        <v>11.386000000000001</v>
      </c>
      <c r="F67" s="401">
        <f t="shared" ca="1" si="3"/>
        <v>10.895000000000001</v>
      </c>
      <c r="G67" s="408">
        <f t="shared" ca="1" si="4"/>
        <v>93.425288951343717</v>
      </c>
      <c r="H67" s="404">
        <f t="shared" ca="1" si="5"/>
        <v>6.1691487496766298E-4</v>
      </c>
      <c r="I67" s="404">
        <f t="shared" ca="1" si="6"/>
        <v>6.447170965013134E-4</v>
      </c>
      <c r="J67" s="404">
        <f t="shared" ca="1" si="7"/>
        <v>131.41028883892605</v>
      </c>
      <c r="K67" s="411">
        <f t="shared" ca="1" si="8"/>
        <v>150.55521699293746</v>
      </c>
      <c r="L67" s="414">
        <f t="shared" ca="1" si="9"/>
        <v>838.81556366295115</v>
      </c>
      <c r="M67" s="417">
        <f t="shared" ca="1" si="10"/>
        <v>12.82044514296267</v>
      </c>
    </row>
    <row r="68" spans="2:13" x14ac:dyDescent="0.2">
      <c r="B68" s="426">
        <f t="shared" si="12"/>
        <v>156</v>
      </c>
      <c r="C68" s="404">
        <f t="shared" si="1"/>
        <v>7.0241927663818107E-3</v>
      </c>
      <c r="D68" s="401">
        <f ca="1">MpropuPlein+1.75*MasseSans</f>
        <v>13.5845</v>
      </c>
      <c r="E68" s="401">
        <f t="shared" ca="1" si="2"/>
        <v>13.093500000000001</v>
      </c>
      <c r="F68" s="401">
        <f t="shared" ca="1" si="3"/>
        <v>12.602500000000001</v>
      </c>
      <c r="G68" s="408">
        <f t="shared" ca="1" si="4"/>
        <v>79.96255890327258</v>
      </c>
      <c r="H68" s="404">
        <f t="shared" ca="1" si="5"/>
        <v>5.3646410557771492E-4</v>
      </c>
      <c r="I68" s="404">
        <f t="shared" ca="1" si="6"/>
        <v>5.5736502808028646E-4</v>
      </c>
      <c r="J68" s="404">
        <f t="shared" ca="1" si="7"/>
        <v>113.23455020018078</v>
      </c>
      <c r="K68" s="411">
        <f t="shared" ca="1" si="8"/>
        <v>130.58415018348606</v>
      </c>
      <c r="L68" s="414">
        <f t="shared" ca="1" si="9"/>
        <v>720.95483059950163</v>
      </c>
      <c r="M68" s="417">
        <f t="shared" ca="1" si="10"/>
        <v>12.214467142340453</v>
      </c>
    </row>
    <row r="69" spans="2:13" x14ac:dyDescent="0.2">
      <c r="B69" s="427">
        <f t="shared" si="12"/>
        <v>156</v>
      </c>
      <c r="C69" s="405">
        <f t="shared" si="1"/>
        <v>7.0241927663818107E-3</v>
      </c>
      <c r="D69" s="402">
        <f ca="1">MpropuPlein+2*MasseSans</f>
        <v>15.292</v>
      </c>
      <c r="E69" s="402">
        <f t="shared" ca="1" si="2"/>
        <v>14.801</v>
      </c>
      <c r="F69" s="402">
        <f t="shared" ca="1" si="3"/>
        <v>14.31</v>
      </c>
      <c r="G69" s="409">
        <f t="shared" ca="1" si="4"/>
        <v>69.606052969393929</v>
      </c>
      <c r="H69" s="405">
        <f t="shared" ca="1" si="5"/>
        <v>4.7457555343434976E-4</v>
      </c>
      <c r="I69" s="405">
        <f t="shared" ca="1" si="6"/>
        <v>4.9085903329013352E-4</v>
      </c>
      <c r="J69" s="405">
        <f t="shared" ca="1" si="7"/>
        <v>99.019996592863961</v>
      </c>
      <c r="K69" s="412">
        <f t="shared" ca="1" si="8"/>
        <v>114.70321343736241</v>
      </c>
      <c r="L69" s="415">
        <f t="shared" ca="1" si="9"/>
        <v>614.24610530061398</v>
      </c>
      <c r="M69" s="418">
        <f t="shared" ca="1" si="10"/>
        <v>11.522899380985567</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0:D10"/>
    <mergeCell ref="C9:D9"/>
    <mergeCell ref="C2:D3"/>
    <mergeCell ref="C4:D4"/>
    <mergeCell ref="C5:D5"/>
    <mergeCell ref="C7:D7"/>
    <mergeCell ref="C8:D8"/>
    <mergeCell ref="C11:D11"/>
    <mergeCell ref="C13:D13"/>
    <mergeCell ref="C15:D15"/>
    <mergeCell ref="C16:D16"/>
    <mergeCell ref="C17:D17"/>
    <mergeCell ref="C12:D12"/>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598" t="s">
        <v>178</v>
      </c>
      <c r="D2" s="598"/>
    </row>
    <row r="3" spans="3:8" x14ac:dyDescent="0.2">
      <c r="C3" s="598"/>
      <c r="D3" s="598"/>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542</v>
      </c>
      <c r="D47" t="s">
        <v>395</v>
      </c>
      <c r="E47" s="16">
        <v>43048</v>
      </c>
      <c r="F47" t="s">
        <v>543</v>
      </c>
    </row>
    <row r="48" spans="3:6" x14ac:dyDescent="0.2">
      <c r="C48" t="s">
        <v>546</v>
      </c>
      <c r="D48" t="s">
        <v>395</v>
      </c>
      <c r="E48" s="16">
        <v>44160</v>
      </c>
      <c r="F48" t="s">
        <v>547</v>
      </c>
    </row>
    <row r="49" spans="3:6" x14ac:dyDescent="0.2">
      <c r="C49" t="s">
        <v>555</v>
      </c>
      <c r="D49" t="s">
        <v>553</v>
      </c>
      <c r="E49" s="16">
        <v>45300</v>
      </c>
      <c r="F49" t="s">
        <v>554</v>
      </c>
    </row>
    <row r="50" spans="3:6" x14ac:dyDescent="0.2">
      <c r="C50" t="s">
        <v>557</v>
      </c>
      <c r="D50" t="s">
        <v>395</v>
      </c>
      <c r="E50" s="16">
        <v>45322</v>
      </c>
      <c r="F50" t="s">
        <v>562</v>
      </c>
    </row>
    <row r="51" spans="3:6" x14ac:dyDescent="0.2">
      <c r="C51" t="s">
        <v>566</v>
      </c>
      <c r="D51" t="s">
        <v>395</v>
      </c>
      <c r="E51" s="16">
        <v>45325</v>
      </c>
      <c r="F51" t="s">
        <v>565</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429</v>
      </c>
      <c r="N3" s="75"/>
      <c r="O3" s="6"/>
      <c r="P3" s="273" t="s">
        <v>340</v>
      </c>
      <c r="Q3" s="441">
        <f>Long_ogive</f>
        <v>275</v>
      </c>
      <c r="R3" s="48"/>
      <c r="S3" s="48"/>
      <c r="T3" s="48"/>
      <c r="U3" s="48"/>
    </row>
    <row r="4" spans="2:21" ht="15.75" customHeight="1" x14ac:dyDescent="0.2">
      <c r="B4" s="74"/>
      <c r="D4" s="2" t="s">
        <v>564</v>
      </c>
      <c r="E4" t="str">
        <f>Matricule</f>
        <v>FX0</v>
      </c>
      <c r="N4" s="75"/>
      <c r="O4" s="6"/>
      <c r="P4" s="273"/>
      <c r="Q4" s="436"/>
      <c r="R4" s="48"/>
      <c r="S4" s="48"/>
      <c r="T4" s="48"/>
      <c r="U4" s="48"/>
    </row>
    <row r="5" spans="2:21" ht="15.75" customHeight="1" x14ac:dyDescent="0.2">
      <c r="B5" s="74"/>
      <c r="D5" t="s">
        <v>462</v>
      </c>
      <c r="E5" t="str">
        <f>Propu</f>
        <v>Pro54-5G WT</v>
      </c>
      <c r="G5" t="s">
        <v>459</v>
      </c>
      <c r="H5">
        <f>MasseSans</f>
        <v>6.83</v>
      </c>
      <c r="N5" s="75"/>
      <c r="O5" s="6"/>
      <c r="P5" s="273"/>
      <c r="Q5" s="436"/>
      <c r="R5" s="48"/>
      <c r="S5" s="48"/>
      <c r="T5" s="48"/>
      <c r="U5" s="48"/>
    </row>
    <row r="6" spans="2:21" x14ac:dyDescent="0.2">
      <c r="B6" s="74"/>
      <c r="D6" t="s">
        <v>455</v>
      </c>
      <c r="E6" s="2" t="str">
        <f>Trajecto!H34</f>
        <v>Brun/Orange…</v>
      </c>
      <c r="G6" t="s">
        <v>460</v>
      </c>
      <c r="H6">
        <f>D_ref</f>
        <v>104</v>
      </c>
      <c r="N6" s="75"/>
      <c r="O6" s="6"/>
      <c r="P6" s="273"/>
      <c r="Q6" s="436"/>
      <c r="R6" s="48"/>
      <c r="S6" s="48"/>
      <c r="T6" s="48"/>
      <c r="U6" s="48"/>
    </row>
    <row r="7" spans="2:21" x14ac:dyDescent="0.2">
      <c r="B7" s="74"/>
      <c r="D7" t="s">
        <v>457</v>
      </c>
      <c r="E7" s="2" t="str">
        <f>Trajecto!H35</f>
        <v>Rouge…</v>
      </c>
      <c r="G7" t="s">
        <v>5</v>
      </c>
      <c r="H7">
        <f>Cx</f>
        <v>0.6</v>
      </c>
      <c r="N7" s="75"/>
      <c r="O7" s="6"/>
      <c r="P7" s="273"/>
      <c r="Q7" s="436"/>
      <c r="R7" s="48"/>
      <c r="S7" s="48"/>
      <c r="T7" s="48"/>
      <c r="U7" s="48"/>
    </row>
    <row r="8" spans="2:21" x14ac:dyDescent="0.2">
      <c r="B8" s="74"/>
      <c r="D8" t="s">
        <v>458</v>
      </c>
      <c r="E8" s="2">
        <f>S_para</f>
        <v>0.48049999999999998</v>
      </c>
      <c r="G8" t="s">
        <v>461</v>
      </c>
      <c r="H8">
        <f>L_rampe</f>
        <v>4</v>
      </c>
      <c r="N8" s="75"/>
      <c r="O8" s="6"/>
      <c r="P8" s="273"/>
      <c r="Q8" s="436"/>
      <c r="R8" s="48"/>
      <c r="S8" s="48"/>
      <c r="T8" s="48"/>
      <c r="U8" s="48"/>
    </row>
    <row r="9" spans="2:21" x14ac:dyDescent="0.2">
      <c r="B9" s="74"/>
      <c r="D9" t="s">
        <v>456</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454</v>
      </c>
      <c r="E11" s="243">
        <f>MasseSans</f>
        <v>6.83</v>
      </c>
      <c r="F11" s="246" t="s">
        <v>123</v>
      </c>
      <c r="G11" s="246" t="s">
        <v>125</v>
      </c>
      <c r="H11" s="672">
        <f ca="1">Vsortie_de_rampe</f>
        <v>32.921236098223389</v>
      </c>
      <c r="I11" s="673"/>
      <c r="J11" s="76"/>
      <c r="N11" s="75"/>
      <c r="P11" s="48"/>
      <c r="Q11" s="436"/>
      <c r="R11" s="48"/>
      <c r="S11" s="48"/>
      <c r="T11" s="48"/>
      <c r="U11" s="440">
        <f>IF(RIGHT(Nb_diam,1)=",", "", X_j)</f>
        <v>1250</v>
      </c>
    </row>
    <row r="12" spans="2:21" ht="13.5" thickBot="1" x14ac:dyDescent="0.25">
      <c r="B12" s="74"/>
      <c r="C12" s="12"/>
      <c r="D12" s="276"/>
      <c r="E12" s="244"/>
      <c r="F12" s="6" t="s">
        <v>123</v>
      </c>
      <c r="G12" s="6" t="s">
        <v>126</v>
      </c>
      <c r="H12" s="674">
        <f>Finesse</f>
        <v>19.153846153846153</v>
      </c>
      <c r="I12" s="675"/>
      <c r="J12" s="76"/>
      <c r="N12" s="75"/>
      <c r="O12" s="6"/>
      <c r="P12" s="273" t="s">
        <v>341</v>
      </c>
      <c r="Q12" s="441">
        <f>D_og</f>
        <v>84</v>
      </c>
      <c r="R12" s="48"/>
      <c r="S12" s="48"/>
      <c r="T12" s="48"/>
      <c r="U12" s="436"/>
    </row>
    <row r="13" spans="2:21" x14ac:dyDescent="0.2">
      <c r="B13" s="74"/>
      <c r="C13" s="12"/>
      <c r="D13" s="276" t="s">
        <v>5</v>
      </c>
      <c r="E13" s="244">
        <f>Cx</f>
        <v>0.6</v>
      </c>
      <c r="F13" s="6" t="s">
        <v>123</v>
      </c>
      <c r="G13" s="6" t="s">
        <v>433</v>
      </c>
      <c r="H13" s="674">
        <f>Cn</f>
        <v>19.083886010697782</v>
      </c>
      <c r="I13" s="675"/>
      <c r="J13" s="76"/>
      <c r="N13" s="75"/>
      <c r="O13" s="6"/>
      <c r="P13" s="48"/>
      <c r="Q13" s="436"/>
      <c r="R13" s="48"/>
      <c r="S13" s="48"/>
      <c r="T13" s="48"/>
      <c r="U13" s="440">
        <f>IF(RIGHT(Nb_diam,1)=",", "", X_r)</f>
        <v>1922</v>
      </c>
    </row>
    <row r="14" spans="2:21" x14ac:dyDescent="0.2">
      <c r="B14" s="74"/>
      <c r="C14" s="12"/>
      <c r="D14" s="276" t="s">
        <v>143</v>
      </c>
      <c r="E14" s="244">
        <f>L_rampe</f>
        <v>4</v>
      </c>
      <c r="F14" s="6" t="s">
        <v>123</v>
      </c>
      <c r="G14" s="6" t="s">
        <v>127</v>
      </c>
      <c r="H14" s="247">
        <f ca="1">MS_min</f>
        <v>1.337069111928348</v>
      </c>
      <c r="I14" s="254">
        <f ca="1">MS_max</f>
        <v>3.0792770471048923</v>
      </c>
      <c r="J14" s="76"/>
      <c r="K14" s="76"/>
      <c r="N14" s="75"/>
      <c r="P14" s="48"/>
      <c r="Q14" s="436"/>
      <c r="R14" s="48"/>
      <c r="S14" s="48"/>
      <c r="T14" s="48"/>
      <c r="U14" s="436"/>
    </row>
    <row r="15" spans="2:21" x14ac:dyDescent="0.2">
      <c r="B15" s="74"/>
      <c r="C15" s="12"/>
      <c r="D15" s="276" t="s">
        <v>144</v>
      </c>
      <c r="E15" s="244">
        <f>ep_ail</f>
        <v>4</v>
      </c>
      <c r="F15" s="6" t="s">
        <v>123</v>
      </c>
      <c r="G15" s="6" t="s">
        <v>124</v>
      </c>
      <c r="H15" s="247">
        <f ca="1">MS_Cn_min</f>
        <v>25.516474520465508</v>
      </c>
      <c r="I15" s="254">
        <f ca="1">MS_Cn_max</f>
        <v>72.315647255749184</v>
      </c>
      <c r="J15" s="76"/>
      <c r="K15" s="76"/>
      <c r="N15" s="75"/>
      <c r="P15" s="48"/>
      <c r="Q15" s="436"/>
      <c r="R15" s="48"/>
      <c r="S15" s="48"/>
      <c r="T15" s="48"/>
    </row>
    <row r="16" spans="2:21" x14ac:dyDescent="0.2">
      <c r="B16" s="74"/>
      <c r="C16" s="12"/>
      <c r="D16" s="276" t="s">
        <v>145</v>
      </c>
      <c r="E16" s="244">
        <f>Q_ail</f>
        <v>4</v>
      </c>
      <c r="F16" s="6" t="s">
        <v>128</v>
      </c>
      <c r="G16" s="6" t="s">
        <v>129</v>
      </c>
      <c r="H16" s="247">
        <f ca="1">V_para</f>
        <v>14.696782400969653</v>
      </c>
      <c r="I16" s="253">
        <f>V_satellite</f>
        <v>12.655562623057198</v>
      </c>
      <c r="J16" s="76"/>
      <c r="N16" s="75"/>
      <c r="P16" s="48"/>
      <c r="Q16" s="436"/>
      <c r="R16" s="48"/>
      <c r="S16" s="48"/>
      <c r="T16" s="48"/>
      <c r="U16" s="440">
        <f>IF(RIGHT(Nb_diam,1)=",", "", l_j)</f>
        <v>50</v>
      </c>
    </row>
    <row r="17" spans="2:21" x14ac:dyDescent="0.2">
      <c r="B17" s="74"/>
      <c r="C17" s="12"/>
      <c r="D17" s="276" t="s">
        <v>146</v>
      </c>
      <c r="E17" s="272" t="str">
        <f>Forme_ogive</f>
        <v>Conique (droite)</v>
      </c>
      <c r="F17" s="6" t="s">
        <v>130</v>
      </c>
      <c r="G17" s="6" t="s">
        <v>131</v>
      </c>
      <c r="H17" s="674">
        <f>T_para</f>
        <v>17</v>
      </c>
      <c r="I17" s="675"/>
      <c r="J17" s="258"/>
      <c r="N17" s="75"/>
      <c r="P17" s="434" t="s">
        <v>342</v>
      </c>
      <c r="Q17" s="440">
        <f>IF(RIGHT(Nb_diam,1)=",", "", D2j)</f>
        <v>104</v>
      </c>
      <c r="R17" s="48"/>
      <c r="S17" s="48"/>
      <c r="T17" s="48"/>
      <c r="U17" s="436"/>
    </row>
    <row r="18" spans="2:21" x14ac:dyDescent="0.2">
      <c r="B18" s="74"/>
      <c r="C18" s="12"/>
      <c r="D18" s="276" t="s">
        <v>148</v>
      </c>
      <c r="E18" s="244">
        <f ca="1">XpropuRef-Long_propu</f>
        <v>1504</v>
      </c>
      <c r="F18" s="12" t="s">
        <v>130</v>
      </c>
      <c r="G18" s="12" t="s">
        <v>427</v>
      </c>
      <c r="H18" s="602">
        <f ca="1">T_para-Combustion-Depotage</f>
        <v>17</v>
      </c>
      <c r="I18" s="680"/>
      <c r="N18" s="75"/>
      <c r="P18" s="48"/>
      <c r="Q18" s="436"/>
      <c r="R18" s="48"/>
      <c r="S18" s="48"/>
    </row>
    <row r="19" spans="2:21" x14ac:dyDescent="0.2">
      <c r="B19" s="74"/>
      <c r="C19" s="531"/>
      <c r="D19" s="269"/>
      <c r="E19" s="271"/>
      <c r="F19" s="519" t="s">
        <v>132</v>
      </c>
      <c r="G19" s="274" t="s">
        <v>426</v>
      </c>
      <c r="H19" s="681">
        <f ca="1">Portee_balistique</f>
        <v>786.02923903053897</v>
      </c>
      <c r="I19" s="682"/>
      <c r="N19" s="75"/>
      <c r="P19" s="48"/>
      <c r="Q19" s="436"/>
      <c r="R19" s="48"/>
      <c r="S19" s="48"/>
      <c r="T19" s="48"/>
    </row>
    <row r="20" spans="2:21" x14ac:dyDescent="0.2">
      <c r="B20" s="74"/>
      <c r="C20" s="12"/>
      <c r="D20" s="6"/>
      <c r="E20" s="6"/>
      <c r="H20" s="518"/>
      <c r="I20" s="518"/>
      <c r="N20" s="75"/>
      <c r="P20" s="48"/>
      <c r="Q20" s="436"/>
      <c r="R20" s="48"/>
      <c r="S20" s="48"/>
      <c r="T20" s="48"/>
      <c r="U20" s="440">
        <f>IF(RIGHT(Nb_diam,1)=",", "", l_r)</f>
        <v>70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453</v>
      </c>
      <c r="D22" s="526" t="s">
        <v>437</v>
      </c>
      <c r="E22" s="527"/>
      <c r="F22" s="528" t="s">
        <v>442</v>
      </c>
      <c r="G22" s="526" t="s">
        <v>447</v>
      </c>
      <c r="I22" s="529"/>
      <c r="J22" s="530" t="s">
        <v>156</v>
      </c>
      <c r="K22" s="526" t="s">
        <v>157</v>
      </c>
      <c r="N22" s="75"/>
      <c r="O22" s="273"/>
      <c r="P22" s="436"/>
      <c r="Q22" s="48"/>
      <c r="R22" s="48"/>
      <c r="S22" s="48"/>
      <c r="T22" s="226"/>
      <c r="U22" s="436"/>
    </row>
    <row r="23" spans="2:21" x14ac:dyDescent="0.2">
      <c r="B23" s="74"/>
      <c r="C23" s="526" t="s">
        <v>452</v>
      </c>
      <c r="D23" s="527">
        <f>XcgSans</f>
        <v>1000</v>
      </c>
      <c r="E23" s="527" t="s">
        <v>38</v>
      </c>
      <c r="F23" s="528">
        <f>m_ail</f>
        <v>190</v>
      </c>
      <c r="G23" s="526">
        <f>m_can</f>
        <v>170</v>
      </c>
      <c r="I23" s="529" t="s">
        <v>448</v>
      </c>
      <c r="J23" s="528">
        <f>l_j</f>
        <v>50</v>
      </c>
      <c r="K23" s="526">
        <f>l_r</f>
        <v>70</v>
      </c>
      <c r="N23" s="75"/>
      <c r="O23" s="273"/>
      <c r="P23" s="436"/>
      <c r="Q23" s="48"/>
      <c r="R23" s="48"/>
      <c r="S23" s="48"/>
      <c r="T23" s="226"/>
      <c r="U23" s="436"/>
    </row>
    <row r="24" spans="2:21" x14ac:dyDescent="0.2">
      <c r="B24" s="74"/>
      <c r="C24" s="526" t="s">
        <v>440</v>
      </c>
      <c r="D24" s="526">
        <f>Long_tot</f>
        <v>1992</v>
      </c>
      <c r="E24" s="527" t="s">
        <v>443</v>
      </c>
      <c r="F24" s="528">
        <f>n_ail</f>
        <v>120</v>
      </c>
      <c r="G24" s="526">
        <f>n_can</f>
        <v>80</v>
      </c>
      <c r="I24" s="529" t="s">
        <v>449</v>
      </c>
      <c r="J24" s="528">
        <f>D1j</f>
        <v>84</v>
      </c>
      <c r="K24" s="526">
        <f>D1r</f>
        <v>104</v>
      </c>
      <c r="N24" s="75"/>
      <c r="O24" s="273"/>
      <c r="P24" s="436"/>
      <c r="Q24" s="48"/>
      <c r="R24" s="48"/>
      <c r="S24" s="48"/>
      <c r="T24" s="226"/>
      <c r="U24" s="436"/>
    </row>
    <row r="25" spans="2:21" x14ac:dyDescent="0.2">
      <c r="B25" s="74"/>
      <c r="C25" s="526" t="s">
        <v>441</v>
      </c>
      <c r="D25" s="526">
        <f>XpropuRef</f>
        <v>1992</v>
      </c>
      <c r="E25" s="527" t="s">
        <v>444</v>
      </c>
      <c r="F25" s="528">
        <f>p_ail</f>
        <v>130</v>
      </c>
      <c r="G25" s="526">
        <f>p_can</f>
        <v>140</v>
      </c>
      <c r="I25" s="529" t="s">
        <v>450</v>
      </c>
      <c r="J25" s="528">
        <f>D2j</f>
        <v>104</v>
      </c>
      <c r="K25" s="526">
        <f>D2r</f>
        <v>84</v>
      </c>
      <c r="N25" s="75"/>
      <c r="O25" s="273"/>
      <c r="P25" s="436"/>
      <c r="Q25" s="48"/>
      <c r="R25" s="48"/>
      <c r="S25" s="48"/>
      <c r="T25" s="226"/>
      <c r="U25" s="436"/>
    </row>
    <row r="26" spans="2:21" x14ac:dyDescent="0.2">
      <c r="B26" s="74"/>
      <c r="C26" s="526" t="s">
        <v>438</v>
      </c>
      <c r="D26" s="526">
        <f>D_ref</f>
        <v>104</v>
      </c>
      <c r="E26" s="527" t="s">
        <v>445</v>
      </c>
      <c r="F26" s="528">
        <f>E_ail</f>
        <v>130</v>
      </c>
      <c r="G26" s="526">
        <f>E_can</f>
        <v>110</v>
      </c>
      <c r="I26" s="529" t="s">
        <v>451</v>
      </c>
      <c r="J26" s="528">
        <f>X_j</f>
        <v>1250</v>
      </c>
      <c r="K26" s="526">
        <f>X_r</f>
        <v>1922</v>
      </c>
      <c r="N26" s="75"/>
      <c r="O26" s="273"/>
      <c r="P26" s="436"/>
      <c r="Q26" s="48"/>
      <c r="R26" s="48"/>
      <c r="S26" s="48"/>
      <c r="T26" s="226"/>
      <c r="U26" s="436"/>
    </row>
    <row r="27" spans="2:21" x14ac:dyDescent="0.2">
      <c r="B27" s="74"/>
      <c r="C27" s="526" t="s">
        <v>439</v>
      </c>
      <c r="D27" s="526">
        <f>Long_ogive</f>
        <v>275</v>
      </c>
      <c r="E27" s="527" t="s">
        <v>446</v>
      </c>
      <c r="F27" s="528">
        <f>X_ail</f>
        <v>1922</v>
      </c>
      <c r="G27" s="526">
        <f>X_can</f>
        <v>1035</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7" t="s">
        <v>141</v>
      </c>
      <c r="D29" s="677" t="s">
        <v>133</v>
      </c>
      <c r="E29" s="677" t="s">
        <v>134</v>
      </c>
      <c r="F29" s="677"/>
      <c r="G29" s="677"/>
      <c r="H29" s="678" t="s">
        <v>135</v>
      </c>
      <c r="I29" s="678"/>
      <c r="J29" s="678"/>
      <c r="K29" s="678"/>
      <c r="L29" s="677" t="s">
        <v>136</v>
      </c>
      <c r="M29" s="677" t="s">
        <v>137</v>
      </c>
      <c r="N29" s="75"/>
      <c r="O29" s="273" t="s">
        <v>430</v>
      </c>
      <c r="P29" s="441">
        <f>n_ail</f>
        <v>120</v>
      </c>
      <c r="Q29" s="2"/>
      <c r="R29" s="48"/>
      <c r="S29" s="48"/>
      <c r="T29" s="48"/>
      <c r="U29" s="12" t="s">
        <v>434</v>
      </c>
    </row>
    <row r="30" spans="2:21" ht="13.5" thickBot="1" x14ac:dyDescent="0.25">
      <c r="B30" s="74"/>
      <c r="C30" s="677"/>
      <c r="D30" s="677"/>
      <c r="E30" s="677"/>
      <c r="F30" s="677"/>
      <c r="G30" s="677"/>
      <c r="H30" s="678" t="s">
        <v>138</v>
      </c>
      <c r="I30" s="678"/>
      <c r="J30" s="69" t="s">
        <v>139</v>
      </c>
      <c r="K30" s="70" t="s">
        <v>140</v>
      </c>
      <c r="L30" s="677"/>
      <c r="M30" s="677"/>
      <c r="N30" s="75"/>
      <c r="P30" s="12"/>
      <c r="R30" s="48"/>
      <c r="S30" s="48"/>
      <c r="T30" s="226" t="s">
        <v>432</v>
      </c>
      <c r="U30" s="523">
        <f>[0]!p_can</f>
        <v>140</v>
      </c>
    </row>
    <row r="31" spans="2:21" ht="13.5" thickBot="1" x14ac:dyDescent="0.25">
      <c r="B31" s="74"/>
      <c r="C31" s="83">
        <f>Beta_rampe</f>
        <v>80</v>
      </c>
      <c r="D31" s="84">
        <f ca="1">Portee_balistique</f>
        <v>786.02923903053897</v>
      </c>
      <c r="E31" s="676">
        <f ca="1">T_para+Dt_para</f>
        <v>111.4945772234294</v>
      </c>
      <c r="F31" s="676"/>
      <c r="G31" s="676"/>
      <c r="H31" s="679">
        <f ca="1">Altitude_culmi</f>
        <v>1396.1084776157461</v>
      </c>
      <c r="I31" s="679"/>
      <c r="J31" s="85">
        <f ca="1">Temps_culmi</f>
        <v>15.699999999999962</v>
      </c>
      <c r="K31" s="86">
        <f ca="1">Vit_culmi</f>
        <v>23.148966956269266</v>
      </c>
      <c r="L31" s="84">
        <f ca="1">Acc_max</f>
        <v>151.03357616325854</v>
      </c>
      <c r="M31" s="86">
        <f ca="1">Vit_max</f>
        <v>219.12405880697469</v>
      </c>
      <c r="N31" s="75"/>
      <c r="O31" s="273" t="s">
        <v>436</v>
      </c>
      <c r="P31" s="441">
        <f>ep_ail</f>
        <v>4</v>
      </c>
      <c r="Q31" s="2"/>
      <c r="R31" s="48"/>
      <c r="S31" s="48"/>
      <c r="T31" s="226" t="s">
        <v>344</v>
      </c>
      <c r="U31" s="523">
        <f>[0]!m_can</f>
        <v>170</v>
      </c>
    </row>
    <row r="32" spans="2:21" ht="13.5" thickBot="1" x14ac:dyDescent="0.25">
      <c r="B32" s="74"/>
      <c r="C32" s="520"/>
      <c r="D32" s="242"/>
      <c r="E32" s="247"/>
      <c r="F32" s="247"/>
      <c r="G32" s="247"/>
      <c r="H32" s="283"/>
      <c r="I32" s="283"/>
      <c r="J32" s="247"/>
      <c r="K32" s="248"/>
      <c r="L32" s="242"/>
      <c r="M32" s="248"/>
      <c r="N32" s="75"/>
      <c r="O32" s="273" t="s">
        <v>435</v>
      </c>
      <c r="P32" s="522">
        <f>Q_ail</f>
        <v>4</v>
      </c>
      <c r="Q32" s="2"/>
      <c r="R32" s="48"/>
      <c r="S32" s="48"/>
      <c r="T32" s="226" t="s">
        <v>430</v>
      </c>
      <c r="U32" s="523">
        <f>[0]!n_can</f>
        <v>80</v>
      </c>
    </row>
    <row r="33" spans="2:21" ht="13.5" thickBot="1" x14ac:dyDescent="0.25">
      <c r="B33" s="74"/>
      <c r="D33" s="80"/>
      <c r="E33" s="81"/>
      <c r="F33" s="81"/>
      <c r="G33" s="81"/>
      <c r="H33" s="82"/>
      <c r="I33" s="82"/>
      <c r="J33" s="81"/>
      <c r="K33" s="76"/>
      <c r="L33" s="80"/>
      <c r="M33" s="76"/>
      <c r="N33" s="75"/>
      <c r="O33" s="2"/>
      <c r="Q33" s="2"/>
      <c r="R33" s="48"/>
      <c r="S33" s="48"/>
      <c r="T33" s="226" t="s">
        <v>431</v>
      </c>
      <c r="U33" s="523">
        <f>[0]!E_can</f>
        <v>110</v>
      </c>
    </row>
    <row r="34" spans="2:21" ht="13.5" thickBot="1" x14ac:dyDescent="0.25">
      <c r="B34" s="77"/>
      <c r="C34" s="78"/>
      <c r="D34" s="78"/>
      <c r="E34" s="78"/>
      <c r="F34" s="78"/>
      <c r="G34" s="78"/>
      <c r="H34" s="78"/>
      <c r="I34" s="78"/>
      <c r="J34" s="78"/>
      <c r="K34" s="78"/>
      <c r="L34" s="78"/>
      <c r="M34" s="78"/>
      <c r="N34" s="79"/>
      <c r="O34" s="2"/>
      <c r="P34" s="273" t="s">
        <v>431</v>
      </c>
      <c r="Q34" s="441">
        <f>E_ail</f>
        <v>130</v>
      </c>
      <c r="T34" s="226" t="s">
        <v>436</v>
      </c>
      <c r="U34" s="523">
        <f>[0]!ep_can</f>
        <v>4</v>
      </c>
    </row>
    <row r="35" spans="2:21" x14ac:dyDescent="0.2">
      <c r="O35" s="2"/>
      <c r="P35" s="6"/>
      <c r="Q35" s="6"/>
      <c r="T35" s="226" t="s">
        <v>435</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563</v>
      </c>
      <c r="I38" t="str">
        <f>Matricule</f>
        <v>FX0</v>
      </c>
      <c r="N38" s="75"/>
    </row>
    <row r="39" spans="2:21" x14ac:dyDescent="0.2">
      <c r="B39" s="74"/>
      <c r="D39" s="2"/>
      <c r="N39" s="75"/>
    </row>
    <row r="40" spans="2:21" x14ac:dyDescent="0.2">
      <c r="B40" s="74"/>
      <c r="D40" s="275" t="s">
        <v>149</v>
      </c>
      <c r="E40" s="246">
        <f>D_ref</f>
        <v>104</v>
      </c>
      <c r="F40" s="265"/>
      <c r="G40" s="265"/>
      <c r="H40" s="261" t="s">
        <v>198</v>
      </c>
      <c r="I40" s="261" t="s">
        <v>199</v>
      </c>
      <c r="J40" s="262" t="s">
        <v>200</v>
      </c>
      <c r="N40" s="75"/>
    </row>
    <row r="41" spans="2:21" x14ac:dyDescent="0.2">
      <c r="B41" s="74"/>
      <c r="D41" s="276" t="s">
        <v>147</v>
      </c>
      <c r="E41" s="6">
        <f>Long_ogive</f>
        <v>275</v>
      </c>
      <c r="F41" s="2"/>
      <c r="G41" s="2" t="s">
        <v>201</v>
      </c>
      <c r="H41" s="6">
        <f>MasseSans</f>
        <v>6.83</v>
      </c>
      <c r="I41" s="6">
        <f ca="1">MasseVide</f>
        <v>7.48</v>
      </c>
      <c r="J41" s="244">
        <f ca="1">MassePlein</f>
        <v>8.4619999999999997</v>
      </c>
      <c r="N41" s="75"/>
    </row>
    <row r="42" spans="2:21" x14ac:dyDescent="0.2">
      <c r="B42" s="74"/>
      <c r="D42" s="276" t="s">
        <v>150</v>
      </c>
      <c r="E42" s="6">
        <f>X_ail-m_ail</f>
        <v>1732</v>
      </c>
      <c r="F42" s="255"/>
      <c r="G42" s="255" t="s">
        <v>218</v>
      </c>
      <c r="H42" s="263">
        <f>XcgSans</f>
        <v>1000</v>
      </c>
      <c r="I42" s="263">
        <f ca="1">XcgVide</f>
        <v>1064.6524064171124</v>
      </c>
      <c r="J42" s="245">
        <f ca="1">XcgPlein</f>
        <v>1145.418104467029</v>
      </c>
      <c r="N42" s="75"/>
    </row>
    <row r="43" spans="2:21" x14ac:dyDescent="0.2">
      <c r="B43" s="74"/>
      <c r="D43" s="276" t="str">
        <f>IF(Lang="Français","Emplanture 'm'",IF(Lang="English","Root edge  'm'",""))</f>
        <v>Emplanture 'm'</v>
      </c>
      <c r="E43" s="244">
        <f>m_ail</f>
        <v>190</v>
      </c>
      <c r="N43" s="75"/>
    </row>
    <row r="44" spans="2:21" x14ac:dyDescent="0.2">
      <c r="B44" s="74"/>
      <c r="D44" s="276" t="str">
        <f>IF(Lang="Français","Saumon      'n'",IF(Lang="English","Tip edge    'n'",""))</f>
        <v>Saumon      'n'</v>
      </c>
      <c r="E44" s="244">
        <f>n_ail</f>
        <v>120</v>
      </c>
      <c r="F44" s="246" t="s">
        <v>202</v>
      </c>
      <c r="G44" s="246" t="s">
        <v>207</v>
      </c>
      <c r="H44" s="672">
        <f ca="1">Vsortie_de_rampe</f>
        <v>32.921236098223389</v>
      </c>
      <c r="I44" s="673"/>
      <c r="N44" s="75"/>
    </row>
    <row r="45" spans="2:21" x14ac:dyDescent="0.2">
      <c r="B45" s="74"/>
      <c r="D45" s="276" t="str">
        <f>IF(Lang="Français","Flèche        'p'",IF(Lang="English","Offset         'p'",""))</f>
        <v>Flèche        'p'</v>
      </c>
      <c r="E45" s="244">
        <f>p_ail</f>
        <v>130</v>
      </c>
      <c r="F45" s="6" t="s">
        <v>203</v>
      </c>
      <c r="G45" s="6" t="s">
        <v>208</v>
      </c>
      <c r="H45" s="674">
        <f>Finesse</f>
        <v>19.153846153846153</v>
      </c>
      <c r="I45" s="675"/>
      <c r="N45" s="75"/>
    </row>
    <row r="46" spans="2:21" x14ac:dyDescent="0.2">
      <c r="B46" s="74"/>
      <c r="D46" s="276" t="str">
        <f>IF(Lang="Français","Envergure   'E'",IF(Lang="English","Span          'E'",""))</f>
        <v>Envergure   'E'</v>
      </c>
      <c r="E46" s="244">
        <f>E_ail</f>
        <v>130</v>
      </c>
      <c r="F46" s="6" t="s">
        <v>204</v>
      </c>
      <c r="G46" s="6" t="s">
        <v>209</v>
      </c>
      <c r="H46" s="674">
        <f>Cn</f>
        <v>19.083886010697782</v>
      </c>
      <c r="I46" s="675"/>
      <c r="N46" s="75"/>
    </row>
    <row r="47" spans="2:21" x14ac:dyDescent="0.2">
      <c r="B47" s="74"/>
      <c r="D47" s="276" t="s">
        <v>144</v>
      </c>
      <c r="E47" s="244">
        <f>ep_ail</f>
        <v>4</v>
      </c>
      <c r="F47" s="6" t="s">
        <v>205</v>
      </c>
      <c r="G47" s="6" t="s">
        <v>210</v>
      </c>
      <c r="H47" s="247">
        <f ca="1">MS_min</f>
        <v>1.337069111928348</v>
      </c>
      <c r="I47" s="254">
        <f ca="1">MS_max</f>
        <v>3.0792770471048923</v>
      </c>
      <c r="N47" s="75"/>
    </row>
    <row r="48" spans="2:21" x14ac:dyDescent="0.2">
      <c r="B48" s="74"/>
      <c r="D48" s="276" t="s">
        <v>145</v>
      </c>
      <c r="E48" s="244">
        <f>Q_ail</f>
        <v>4</v>
      </c>
      <c r="F48" s="274" t="s">
        <v>206</v>
      </c>
      <c r="G48" s="274" t="s">
        <v>211</v>
      </c>
      <c r="H48" s="256">
        <f ca="1">MS_Cn_min</f>
        <v>25.516474520465508</v>
      </c>
      <c r="I48" s="264">
        <f ca="1">MS_Cn_max</f>
        <v>72.315647255749184</v>
      </c>
      <c r="N48" s="75"/>
    </row>
    <row r="49" spans="2:14" x14ac:dyDescent="0.2">
      <c r="B49" s="74"/>
      <c r="D49" s="276" t="s">
        <v>148</v>
      </c>
      <c r="E49" s="244">
        <f ca="1">XpropuRef-Long_propu</f>
        <v>1504</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1992</v>
      </c>
      <c r="G51" s="276" t="s">
        <v>212</v>
      </c>
      <c r="H51" s="6">
        <f>Sref</f>
        <v>1.0574866535306801E-2</v>
      </c>
      <c r="J51" s="267"/>
      <c r="N51" s="75"/>
    </row>
    <row r="52" spans="2:14" x14ac:dyDescent="0.2">
      <c r="B52" s="74"/>
      <c r="D52" s="276" t="s">
        <v>196</v>
      </c>
      <c r="E52" s="244">
        <f>MAX(D_ref,D_ail,D_og,(RIGHT(Nb_diam,1)=",")*MAX(D1j,D1r,D2j,D2r))</f>
        <v>104</v>
      </c>
      <c r="G52" s="276" t="s">
        <v>213</v>
      </c>
      <c r="H52" s="6">
        <f>Beta_rampe</f>
        <v>80</v>
      </c>
      <c r="I52" s="6">
        <v>80</v>
      </c>
      <c r="J52" s="244">
        <v>90</v>
      </c>
      <c r="N52" s="75"/>
    </row>
    <row r="53" spans="2:14" x14ac:dyDescent="0.2">
      <c r="B53" s="74"/>
      <c r="D53" s="277" t="s">
        <v>197</v>
      </c>
      <c r="E53" s="260">
        <f>E_ail*2+D_ail</f>
        <v>364</v>
      </c>
      <c r="G53" s="278" t="s">
        <v>215</v>
      </c>
      <c r="H53" s="247">
        <f ca="1">Temps_culmi</f>
        <v>15.699999999999962</v>
      </c>
      <c r="I53" s="259"/>
      <c r="J53" s="268"/>
      <c r="N53" s="75"/>
    </row>
    <row r="54" spans="2:14" x14ac:dyDescent="0.2">
      <c r="B54" s="74"/>
      <c r="G54" s="278" t="s">
        <v>216</v>
      </c>
      <c r="H54" s="242">
        <f ca="1">Altitude_culmi</f>
        <v>1396.1084776157461</v>
      </c>
      <c r="I54" s="259"/>
      <c r="J54" s="268"/>
      <c r="N54" s="75"/>
    </row>
    <row r="55" spans="2:14" x14ac:dyDescent="0.2">
      <c r="B55" s="74"/>
      <c r="C55" s="275" t="s">
        <v>233</v>
      </c>
      <c r="D55" s="249" t="s">
        <v>60</v>
      </c>
      <c r="E55" s="243">
        <f>Long_tot</f>
        <v>1992</v>
      </c>
      <c r="G55" s="278" t="s">
        <v>217</v>
      </c>
      <c r="H55" s="248">
        <f ca="1">Vit_culmi</f>
        <v>23.148966956269266</v>
      </c>
      <c r="I55" s="259"/>
      <c r="J55" s="268"/>
      <c r="N55" s="75"/>
    </row>
    <row r="56" spans="2:14" x14ac:dyDescent="0.2">
      <c r="B56" s="74"/>
      <c r="C56" s="276"/>
      <c r="D56" s="2" t="s">
        <v>219</v>
      </c>
      <c r="E56" s="244">
        <f>MAX(D_ref,D_ail,D_og,(RIGHT(Nb_diam,1)=",")*MAX(D1j,D1r,D2j,D2r))</f>
        <v>104</v>
      </c>
      <c r="G56" s="278" t="s">
        <v>133</v>
      </c>
      <c r="H56" s="242">
        <f ca="1">Portee_balistique</f>
        <v>786.02923903053897</v>
      </c>
      <c r="I56" s="259"/>
      <c r="J56" s="268"/>
      <c r="N56" s="75"/>
    </row>
    <row r="57" spans="2:14" x14ac:dyDescent="0.2">
      <c r="B57" s="74"/>
      <c r="C57" s="276"/>
      <c r="D57" s="2" t="s">
        <v>220</v>
      </c>
      <c r="E57" s="244">
        <f>E_ail*2+D_ail</f>
        <v>364</v>
      </c>
      <c r="G57" s="278" t="s">
        <v>214</v>
      </c>
      <c r="H57" s="242">
        <f ca="1">T_balistique</f>
        <v>34.700000000000223</v>
      </c>
      <c r="I57" s="259"/>
      <c r="J57" s="268"/>
      <c r="N57" s="75"/>
    </row>
    <row r="58" spans="2:14" x14ac:dyDescent="0.2">
      <c r="B58" s="74"/>
      <c r="C58" s="276"/>
      <c r="D58" s="2" t="s">
        <v>221</v>
      </c>
      <c r="E58" s="244">
        <f ca="1">MassePlein</f>
        <v>8.4619999999999997</v>
      </c>
      <c r="G58" s="278" t="s">
        <v>137</v>
      </c>
      <c r="H58" s="248">
        <f ca="1">Vit_max</f>
        <v>219.12405880697469</v>
      </c>
      <c r="I58" s="259"/>
      <c r="J58" s="268"/>
      <c r="N58" s="75"/>
    </row>
    <row r="59" spans="2:14" x14ac:dyDescent="0.2">
      <c r="B59" s="74"/>
      <c r="C59" s="277" t="s">
        <v>234</v>
      </c>
      <c r="D59" s="255" t="s">
        <v>145</v>
      </c>
      <c r="E59" s="260">
        <f>Q_ail</f>
        <v>4</v>
      </c>
      <c r="G59" s="278" t="s">
        <v>136</v>
      </c>
      <c r="H59" s="242">
        <f ca="1">Acc_max</f>
        <v>151.03357616325854</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2556.0922429869875</v>
      </c>
      <c r="F62" s="280">
        <f ca="1">E62/9.81</f>
        <v>260.55986167043704</v>
      </c>
      <c r="H62" s="2"/>
      <c r="I62" s="2"/>
      <c r="J62" s="2"/>
      <c r="K62" s="2"/>
      <c r="N62" s="75"/>
    </row>
    <row r="63" spans="2:14" x14ac:dyDescent="0.2">
      <c r="B63" s="74"/>
      <c r="C63" s="276"/>
      <c r="D63" s="2" t="s">
        <v>223</v>
      </c>
      <c r="E63" s="242">
        <f ca="1">2*Acc_max*Masse_ail</f>
        <v>48.693224955034559</v>
      </c>
      <c r="F63" s="248">
        <f ca="1">E63/9.81</f>
        <v>4.9636314938873145</v>
      </c>
      <c r="G63" s="246" t="s">
        <v>229</v>
      </c>
      <c r="H63" s="288">
        <f>S_ail*(ep_ail/1000)*2000</f>
        <v>0.16120000000000001</v>
      </c>
      <c r="I63" s="2"/>
      <c r="J63" s="2"/>
      <c r="K63" s="2"/>
      <c r="N63" s="75"/>
    </row>
    <row r="64" spans="2:14" x14ac:dyDescent="0.2">
      <c r="B64" s="74"/>
      <c r="C64" s="277"/>
      <c r="D64" s="255" t="s">
        <v>224</v>
      </c>
      <c r="E64" s="263">
        <f ca="1">0.104*S_ail*Vit_max^2</f>
        <v>100.62097405703787</v>
      </c>
      <c r="F64" s="281">
        <f ca="1">E64/9.81</f>
        <v>10.256980026201617</v>
      </c>
      <c r="G64" s="274" t="s">
        <v>228</v>
      </c>
      <c r="H64" s="289">
        <f>(E_ail*(m_ail+n_ail)/2)/10^6</f>
        <v>2.0150000000000001E-2</v>
      </c>
      <c r="I64" s="2"/>
      <c r="J64" s="2"/>
      <c r="K64" s="2"/>
      <c r="N64" s="75"/>
    </row>
    <row r="65" spans="2:14" x14ac:dyDescent="0.2">
      <c r="B65" s="74"/>
      <c r="C65" s="282" t="s">
        <v>242</v>
      </c>
      <c r="D65" s="285" t="s">
        <v>240</v>
      </c>
      <c r="E65" s="286">
        <f ca="1">2*Acc_max*H65</f>
        <v>1278.0461214934937</v>
      </c>
      <c r="F65" s="286">
        <f ca="1">E65/9.81</f>
        <v>130.27993083521852</v>
      </c>
      <c r="G65" s="287" t="s">
        <v>241</v>
      </c>
      <c r="H65" s="279">
        <f ca="1">E58/2</f>
        <v>4.2309999999999999</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17</v>
      </c>
      <c r="I67" s="251">
        <f ca="1">Temps_culmi</f>
        <v>15.699999999999962</v>
      </c>
      <c r="J67" s="2"/>
      <c r="K67" s="2"/>
      <c r="N67" s="75"/>
    </row>
    <row r="68" spans="2:14" x14ac:dyDescent="0.2">
      <c r="B68" s="74"/>
      <c r="C68" s="6"/>
      <c r="D68" s="2"/>
      <c r="E68" s="2"/>
      <c r="F68" s="275" t="s">
        <v>231</v>
      </c>
      <c r="G68" s="249" t="s">
        <v>129</v>
      </c>
      <c r="H68" s="250">
        <f ca="1">V_para</f>
        <v>14.696782400969653</v>
      </c>
      <c r="I68" s="251">
        <f>V_satellite</f>
        <v>12.655562623057198</v>
      </c>
      <c r="J68" s="2"/>
      <c r="K68" s="2"/>
      <c r="N68" s="75"/>
    </row>
    <row r="69" spans="2:14" x14ac:dyDescent="0.2">
      <c r="B69" s="74"/>
      <c r="C69" s="6"/>
      <c r="D69" s="2"/>
      <c r="E69" s="2"/>
      <c r="F69" s="276"/>
      <c r="G69" s="2" t="s">
        <v>237</v>
      </c>
      <c r="H69" s="247">
        <f>S_para</f>
        <v>0.48049999999999998</v>
      </c>
      <c r="I69" s="253">
        <f>S_satellite</f>
        <v>0.1</v>
      </c>
      <c r="J69" s="2"/>
      <c r="K69" s="2"/>
      <c r="N69" s="75"/>
    </row>
    <row r="70" spans="2:14" x14ac:dyDescent="0.2">
      <c r="B70" s="74"/>
      <c r="C70" s="226"/>
      <c r="D70" s="2"/>
      <c r="F70" s="276"/>
      <c r="G70" s="2" t="s">
        <v>236</v>
      </c>
      <c r="H70" s="247">
        <f ca="1">V_ouverture</f>
        <v>25.766527472611763</v>
      </c>
      <c r="I70" s="253">
        <f ca="1">V_ouv_sat</f>
        <v>162.98155406263706</v>
      </c>
      <c r="N70" s="75"/>
    </row>
    <row r="71" spans="2:14" x14ac:dyDescent="0.2">
      <c r="B71" s="74"/>
      <c r="C71" s="226"/>
      <c r="F71" s="276"/>
      <c r="G71" s="2" t="s">
        <v>201</v>
      </c>
      <c r="H71" s="247">
        <f ca="1">m_vide</f>
        <v>6.48</v>
      </c>
      <c r="I71" s="253">
        <f>m_satellite</f>
        <v>1</v>
      </c>
      <c r="N71" s="75"/>
    </row>
    <row r="72" spans="2:14" x14ac:dyDescent="0.2">
      <c r="B72" s="74"/>
      <c r="C72" s="226"/>
      <c r="F72" s="276"/>
      <c r="G72" s="2" t="s">
        <v>238</v>
      </c>
      <c r="H72" s="283">
        <f ca="1">1/2*Rho_moyen*S_para*V_ouverture^2</f>
        <v>195.3940214145874</v>
      </c>
      <c r="I72" s="284">
        <f ca="1">1/2*Rho_moyen*S_satellite*V_ouv_sat^2</f>
        <v>1626.9829515861777</v>
      </c>
      <c r="N72" s="75"/>
    </row>
    <row r="73" spans="2:14" x14ac:dyDescent="0.2">
      <c r="B73" s="74"/>
      <c r="D73" s="2"/>
      <c r="F73" s="277"/>
      <c r="G73" s="255" t="s">
        <v>239</v>
      </c>
      <c r="H73" s="256">
        <f ca="1">H72/9.81</f>
        <v>19.917841122791781</v>
      </c>
      <c r="I73" s="257">
        <f ca="1">I72/9.81</f>
        <v>165.8494344124544</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275</v>
      </c>
      <c r="G82" s="48"/>
      <c r="H82" s="48"/>
      <c r="I82" s="48"/>
      <c r="J82" s="48"/>
      <c r="K82" s="48"/>
      <c r="N82" s="75"/>
    </row>
    <row r="83" spans="2:14" x14ac:dyDescent="0.2">
      <c r="B83" s="74"/>
      <c r="C83" s="277" t="s">
        <v>336</v>
      </c>
      <c r="D83" s="433">
        <f ca="1">TODAY()</f>
        <v>45862</v>
      </c>
      <c r="E83" s="48"/>
      <c r="F83" s="436"/>
      <c r="G83" s="48"/>
      <c r="H83" s="48"/>
      <c r="I83" s="48"/>
      <c r="J83" s="48"/>
      <c r="K83" s="48"/>
      <c r="N83" s="75"/>
    </row>
    <row r="84" spans="2:14" ht="13.5" thickBot="1" x14ac:dyDescent="0.25">
      <c r="B84" s="74"/>
      <c r="E84" s="48"/>
      <c r="F84" s="436"/>
      <c r="G84" s="48"/>
      <c r="H84" s="48"/>
      <c r="I84" s="48"/>
      <c r="J84" s="440">
        <f>IF(RIGHT(Nb_diam,1)=",", "", X_j)</f>
        <v>1250</v>
      </c>
      <c r="K84" s="48"/>
      <c r="N84" s="75"/>
    </row>
    <row r="85" spans="2:14" ht="13.5" thickBot="1" x14ac:dyDescent="0.25">
      <c r="B85" s="74"/>
      <c r="C85" s="275" t="s">
        <v>337</v>
      </c>
      <c r="D85" s="243" t="str">
        <f>Propu</f>
        <v>Pro54-5G WT</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1922</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50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104</v>
      </c>
      <c r="G90" s="48"/>
      <c r="H90" s="48"/>
      <c r="I90" s="48"/>
      <c r="J90" s="441">
        <f>X_ail-m_ail</f>
        <v>1732</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70</v>
      </c>
      <c r="K92" s="48"/>
      <c r="N92" s="75"/>
    </row>
    <row r="93" spans="2:14" x14ac:dyDescent="0.2">
      <c r="B93" s="74"/>
      <c r="E93" s="48"/>
      <c r="F93" s="436"/>
      <c r="G93" s="48"/>
      <c r="H93" s="48"/>
      <c r="I93" s="48"/>
      <c r="J93" s="436"/>
      <c r="K93" s="48"/>
      <c r="N93" s="75"/>
    </row>
    <row r="94" spans="2:14" x14ac:dyDescent="0.2">
      <c r="B94" s="74"/>
      <c r="E94" s="434" t="s">
        <v>343</v>
      </c>
      <c r="F94" s="440">
        <f>IF(RIGHT(Nb_diam,1)=",", "", D2r)</f>
        <v>84</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190</v>
      </c>
      <c r="G97" s="48"/>
      <c r="H97" s="48"/>
      <c r="I97" s="48"/>
      <c r="J97" s="441">
        <f>p_ail</f>
        <v>130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1504</v>
      </c>
      <c r="F101" s="252"/>
      <c r="G101" s="48"/>
      <c r="H101" s="48"/>
      <c r="I101" s="48"/>
      <c r="J101" s="441">
        <f>n_ail</f>
        <v>120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130</v>
      </c>
      <c r="I105" s="273"/>
      <c r="J105" s="441">
        <f>ep_ail</f>
        <v>4</v>
      </c>
      <c r="K105" s="48"/>
      <c r="N105" s="75"/>
    </row>
    <row r="106" spans="2:14" x14ac:dyDescent="0.2">
      <c r="B106" s="74"/>
      <c r="D106" s="429"/>
      <c r="E106" s="246" t="s">
        <v>354</v>
      </c>
      <c r="F106" s="243" t="s">
        <v>353</v>
      </c>
      <c r="N106" s="75"/>
    </row>
    <row r="107" spans="2:14" x14ac:dyDescent="0.2">
      <c r="B107" s="74"/>
      <c r="D107" s="437" t="s">
        <v>351</v>
      </c>
      <c r="E107" s="6">
        <f>MasseSans</f>
        <v>6.83</v>
      </c>
      <c r="F107" s="244">
        <f ca="1">MassePlein</f>
        <v>8.4619999999999997</v>
      </c>
      <c r="N107" s="75"/>
    </row>
    <row r="108" spans="2:14" x14ac:dyDescent="0.2">
      <c r="B108" s="74"/>
      <c r="D108" s="431" t="s">
        <v>352</v>
      </c>
      <c r="E108" s="274">
        <f>XcgSans</f>
        <v>1000</v>
      </c>
      <c r="F108" s="260">
        <f ca="1">XcgPlein</f>
        <v>1145.418104467029</v>
      </c>
      <c r="N108" s="75"/>
    </row>
    <row r="109" spans="2:14" x14ac:dyDescent="0.2">
      <c r="B109" s="74"/>
      <c r="N109" s="75"/>
    </row>
    <row r="110" spans="2:14" x14ac:dyDescent="0.2">
      <c r="B110" s="74"/>
      <c r="D110" s="438" t="s">
        <v>355</v>
      </c>
      <c r="E110" s="439">
        <f ca="1">MasseVide</f>
        <v>7.48</v>
      </c>
      <c r="G110" s="429" t="s">
        <v>356</v>
      </c>
      <c r="H110" s="265"/>
      <c r="I110" s="265"/>
      <c r="J110" s="266"/>
      <c r="N110" s="75"/>
    </row>
    <row r="111" spans="2:14" x14ac:dyDescent="0.2">
      <c r="B111" s="74"/>
      <c r="G111" s="276" t="s">
        <v>213</v>
      </c>
      <c r="H111" s="6">
        <f>Beta_rampe</f>
        <v>80</v>
      </c>
      <c r="I111" s="6">
        <v>80</v>
      </c>
      <c r="J111" s="244">
        <v>90</v>
      </c>
      <c r="N111" s="75"/>
    </row>
    <row r="112" spans="2:14" x14ac:dyDescent="0.2">
      <c r="B112" s="74"/>
      <c r="G112" s="278" t="s">
        <v>215</v>
      </c>
      <c r="H112" s="247">
        <f ca="1">Temps_culmi</f>
        <v>15.699999999999962</v>
      </c>
      <c r="I112" s="259"/>
      <c r="J112" s="268"/>
      <c r="N112" s="75"/>
    </row>
    <row r="113" spans="2:14" ht="12.75" customHeight="1" x14ac:dyDescent="0.25">
      <c r="B113" s="74"/>
      <c r="D113" s="435" t="s">
        <v>357</v>
      </c>
      <c r="E113" s="48"/>
      <c r="G113" s="278" t="s">
        <v>216</v>
      </c>
      <c r="H113" s="242">
        <f ca="1">Altitude_culmi</f>
        <v>1396.1084776157461</v>
      </c>
      <c r="I113" s="259"/>
      <c r="J113" s="268"/>
      <c r="N113" s="75"/>
    </row>
    <row r="114" spans="2:14" ht="12.75" customHeight="1" x14ac:dyDescent="0.25">
      <c r="B114" s="74"/>
      <c r="D114" s="48"/>
      <c r="E114" s="48"/>
      <c r="F114" s="435"/>
      <c r="G114" s="278" t="s">
        <v>217</v>
      </c>
      <c r="H114" s="248">
        <f ca="1">Vit_culmi</f>
        <v>23.148966956269266</v>
      </c>
      <c r="I114" s="259"/>
      <c r="J114" s="268"/>
      <c r="N114" s="75"/>
    </row>
    <row r="115" spans="2:14" x14ac:dyDescent="0.2">
      <c r="B115" s="74"/>
      <c r="C115" s="429" t="s">
        <v>358</v>
      </c>
      <c r="D115" s="249"/>
      <c r="E115" s="446">
        <v>0.1</v>
      </c>
      <c r="G115" s="278" t="s">
        <v>133</v>
      </c>
      <c r="H115" s="242">
        <f ca="1">Portee_balistique</f>
        <v>786.02923903053897</v>
      </c>
      <c r="I115" s="259"/>
      <c r="J115" s="268"/>
      <c r="N115" s="75"/>
    </row>
    <row r="116" spans="2:14" ht="12.75" customHeight="1" x14ac:dyDescent="0.2">
      <c r="B116" s="74"/>
      <c r="C116" s="431" t="s">
        <v>359</v>
      </c>
      <c r="D116" s="255"/>
      <c r="E116" s="447">
        <f>E_ail*(m_ail+n_ail)/2</f>
        <v>20150</v>
      </c>
      <c r="G116" s="278" t="s">
        <v>137</v>
      </c>
      <c r="H116" s="248">
        <f ca="1">Vit_max</f>
        <v>219.12405880697469</v>
      </c>
      <c r="I116" s="259"/>
      <c r="J116" s="268"/>
      <c r="N116" s="75"/>
    </row>
    <row r="117" spans="2:14" ht="12.75" customHeight="1" x14ac:dyDescent="0.2">
      <c r="B117" s="74"/>
      <c r="D117" s="48"/>
      <c r="E117" s="48"/>
      <c r="F117" s="48"/>
      <c r="G117" s="278" t="s">
        <v>136</v>
      </c>
      <c r="H117" s="242">
        <f ca="1">Acc_max</f>
        <v>151.03357616325854</v>
      </c>
      <c r="I117" s="259"/>
      <c r="J117" s="268"/>
      <c r="N117" s="75"/>
    </row>
    <row r="118" spans="2:14" x14ac:dyDescent="0.2">
      <c r="B118" s="74"/>
      <c r="C118" s="429" t="s">
        <v>360</v>
      </c>
      <c r="D118" s="249"/>
      <c r="E118" s="457"/>
      <c r="F118" s="458">
        <f>J90/100</f>
        <v>17.32</v>
      </c>
      <c r="G118" s="276" t="s">
        <v>5</v>
      </c>
      <c r="H118" s="6">
        <f>Cx</f>
        <v>0.6</v>
      </c>
      <c r="I118" s="259"/>
      <c r="J118" s="268"/>
      <c r="N118" s="75"/>
    </row>
    <row r="119" spans="2:14" x14ac:dyDescent="0.2">
      <c r="B119" s="74"/>
      <c r="C119" s="437" t="s">
        <v>361</v>
      </c>
      <c r="D119" s="2"/>
      <c r="E119" s="459">
        <f ca="1">2*Acc_max*MasseSans</f>
        <v>2063.1186503901117</v>
      </c>
      <c r="F119" s="460">
        <f ca="1">E119/g</f>
        <v>210.30771155862504</v>
      </c>
      <c r="G119" s="269" t="s">
        <v>222</v>
      </c>
      <c r="H119" s="270"/>
      <c r="I119" s="270"/>
      <c r="J119" s="271"/>
      <c r="N119" s="75"/>
    </row>
    <row r="120" spans="2:14" x14ac:dyDescent="0.2">
      <c r="B120" s="74"/>
      <c r="C120" s="437" t="s">
        <v>362</v>
      </c>
      <c r="D120" s="2"/>
      <c r="E120" s="459">
        <f ca="1">2*Acc_max*E115</f>
        <v>30.20671523265171</v>
      </c>
      <c r="F120" s="460">
        <f ca="1">E120/g</f>
        <v>3.0791758646943639</v>
      </c>
      <c r="N120" s="75"/>
    </row>
    <row r="121" spans="2:14" x14ac:dyDescent="0.2">
      <c r="B121" s="74"/>
      <c r="C121" s="431" t="s">
        <v>363</v>
      </c>
      <c r="D121" s="255"/>
      <c r="E121" s="452">
        <f ca="1">0.104*E116/1000000*Vit_max^2</f>
        <v>100.62097405703787</v>
      </c>
      <c r="F121" s="453">
        <f ca="1">E121/g</f>
        <v>10.256980026201617</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70" t="s">
        <v>368</v>
      </c>
      <c r="D128" s="671"/>
      <c r="E128" s="450">
        <f ca="1">0.5*Rho_moyen*S_para*Vit_culmi^2</f>
        <v>157.7112649339166</v>
      </c>
      <c r="F128" s="451">
        <f ca="1">E128/g</f>
        <v>16.076581542703018</v>
      </c>
      <c r="H128" s="48"/>
      <c r="I128" s="48"/>
      <c r="J128" s="48"/>
      <c r="K128" s="48"/>
      <c r="N128" s="75"/>
    </row>
    <row r="129" spans="2:14" x14ac:dyDescent="0.2">
      <c r="B129" s="74"/>
      <c r="C129" s="668" t="s">
        <v>369</v>
      </c>
      <c r="D129" s="669"/>
      <c r="E129" s="452">
        <f ca="1">E128/E126*2</f>
        <v>78.855632466958298</v>
      </c>
      <c r="F129" s="453">
        <f ca="1">E129/g</f>
        <v>8.0382907713515088</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70" t="s">
        <v>371</v>
      </c>
      <c r="D132" s="671"/>
      <c r="E132" s="454">
        <v>1</v>
      </c>
      <c r="F132" s="48"/>
      <c r="G132" s="48"/>
      <c r="H132" s="48"/>
      <c r="I132" s="48"/>
      <c r="J132" s="442"/>
      <c r="K132" s="48"/>
      <c r="N132" s="75"/>
    </row>
    <row r="133" spans="2:14" x14ac:dyDescent="0.2">
      <c r="B133" s="74"/>
      <c r="C133" s="668" t="s">
        <v>372</v>
      </c>
      <c r="D133" s="669"/>
      <c r="E133" s="455">
        <f ca="1">2*E132*Acc_max/g</f>
        <v>30.791758646943638</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H11:I11"/>
    <mergeCell ref="H12:I12"/>
    <mergeCell ref="H13:I13"/>
    <mergeCell ref="H29:K29"/>
    <mergeCell ref="C29:C30"/>
    <mergeCell ref="D29:D30"/>
    <mergeCell ref="H17:I17"/>
    <mergeCell ref="H18:I18"/>
    <mergeCell ref="H19:I19"/>
    <mergeCell ref="E29:G30"/>
    <mergeCell ref="E31:G31"/>
    <mergeCell ref="M29:M30"/>
    <mergeCell ref="H30:I30"/>
    <mergeCell ref="L29:L30"/>
    <mergeCell ref="H31:I31"/>
    <mergeCell ref="C133:D133"/>
    <mergeCell ref="C128:D128"/>
    <mergeCell ref="C129:D129"/>
    <mergeCell ref="C132:D132"/>
    <mergeCell ref="H44:I44"/>
    <mergeCell ref="H45:I45"/>
    <mergeCell ref="H46:I46"/>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2025-07-24T10:59:53Z</dcterms:modified>
</cp:coreProperties>
</file>